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5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definedNames>
    <definedName name="_xlnm.Print_Titles" localSheetId="0">'Мои данные'!$18:$18</definedName>
    <definedName name="_xlnm.Print_Area" localSheetId="0">'Мои данные'!$A$1:$Q$54</definedName>
  </definedNames>
  <calcPr calcId="152511"/>
</workbook>
</file>

<file path=xl/calcChain.xml><?xml version="1.0" encoding="utf-8"?>
<calcChain xmlns="http://schemas.openxmlformats.org/spreadsheetml/2006/main">
  <c r="E20" i="1" l="1"/>
  <c r="F20" i="1"/>
  <c r="E24" i="1" l="1"/>
  <c r="E28" i="1"/>
  <c r="E29" i="1"/>
  <c r="E33" i="1"/>
  <c r="E34" i="1"/>
  <c r="E38" i="1"/>
  <c r="E39" i="1"/>
  <c r="F28" i="1"/>
  <c r="F34" i="1"/>
  <c r="F38" i="1"/>
  <c r="F39" i="1"/>
  <c r="F24" i="1"/>
  <c r="F33" i="1"/>
  <c r="F29" i="1"/>
  <c r="A12" i="2" l="1"/>
  <c r="D28" i="1"/>
  <c r="D20" i="1"/>
  <c r="Q28" i="1"/>
  <c r="D29" i="1"/>
  <c r="D38" i="1"/>
  <c r="D34" i="1"/>
  <c r="D39" i="1"/>
  <c r="Q20" i="1"/>
  <c r="D33" i="1"/>
  <c r="Q24" i="1"/>
  <c r="Q33" i="1"/>
  <c r="Q29" i="1"/>
  <c r="Q34" i="1"/>
  <c r="Q39" i="1"/>
  <c r="Q38" i="1"/>
  <c r="D24" i="1"/>
  <c r="O38" i="1" l="1"/>
  <c r="P38" i="1"/>
  <c r="O45" i="1"/>
  <c r="P45" i="1"/>
  <c r="P34" i="1"/>
  <c r="O34" i="1"/>
  <c r="O33" i="1"/>
  <c r="P33" i="1"/>
  <c r="O36" i="1"/>
  <c r="P36" i="1"/>
  <c r="O29" i="1"/>
  <c r="P29" i="1"/>
  <c r="O35" i="1"/>
  <c r="P35" i="1"/>
  <c r="P22" i="1"/>
  <c r="O22" i="1"/>
  <c r="P46" i="1"/>
  <c r="O46" i="1"/>
  <c r="P43" i="1"/>
  <c r="O43" i="1"/>
  <c r="P44" i="1"/>
  <c r="O44" i="1"/>
  <c r="O26" i="1"/>
  <c r="P26" i="1"/>
  <c r="O47" i="1"/>
  <c r="P47" i="1"/>
  <c r="O39" i="1"/>
  <c r="P39" i="1"/>
  <c r="P28" i="1"/>
  <c r="O28" i="1"/>
  <c r="O30" i="1"/>
  <c r="P30" i="1"/>
  <c r="P42" i="1"/>
  <c r="O42" i="1"/>
  <c r="P20" i="1"/>
  <c r="O20" i="1"/>
  <c r="O40" i="1"/>
  <c r="P40" i="1"/>
  <c r="O25" i="1"/>
  <c r="P25" i="1"/>
  <c r="P41" i="1"/>
  <c r="O41" i="1"/>
  <c r="P24" i="1"/>
  <c r="O24" i="1"/>
  <c r="P21" i="1"/>
  <c r="O21" i="1"/>
  <c r="O48" i="1"/>
  <c r="P48" i="1"/>
  <c r="O31" i="1"/>
  <c r="P31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</t>
        </r>
      </text>
    </commen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O18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P18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Q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4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O4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P4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Q4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</commentList>
</comments>
</file>

<file path=xl/sharedStrings.xml><?xml version="1.0" encoding="utf-8"?>
<sst xmlns="http://schemas.openxmlformats.org/spreadsheetml/2006/main" count="103" uniqueCount="69">
  <si>
    <t>№ пп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</si>
  <si>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</si>
  <si>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</si>
  <si>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цена, руб.</t>
  </si>
  <si>
    <t>Стоимость работ, руб.</t>
  </si>
  <si>
    <t>Раздел 1. Обмерные работы</t>
  </si>
  <si>
    <t>Обмерные работы для многоэтажных зданий I категории сложности, категория сложности работ 2, высота здания до 7 м</t>
  </si>
  <si>
    <t>СБЦ99-2-1-2-2
"Обмерные работы и обследования зданий (1998г.)"</t>
  </si>
  <si>
    <t>1,1*0,75*0,1177</t>
  </si>
  <si>
    <t>2558 / 100</t>
  </si>
  <si>
    <t>цены 2001</t>
  </si>
  <si>
    <t>(11 Сейсмичность 7 баллов ПЗ=1,1;
2.11 При выполнении работ с использованием и сверкой имеющихся чертежей и выдачей скорректированных чертежей заказчику ПЗ=0,75;
10,59%-крыши, (табл.8 п. 12), 1,18% - планы кровли со вскрытиями табл.8 п.13 ПЗ=0,1177)</t>
  </si>
  <si>
    <t>100 м3 строительного объема здания</t>
  </si>
  <si>
    <t>Итого прямые затраты по разделу в ценах 2001г.</t>
  </si>
  <si>
    <t>Итого по разделу 1 Обмерные работы</t>
  </si>
  <si>
    <t>Раздел 2. Инженерные обследования</t>
  </si>
  <si>
    <t>Инженерные обследования строительных конструкций многоэтажных зданий I категории сложности, категория сложности работ 2, высота здания до 7 м</t>
  </si>
  <si>
    <t>СБЦ99-4-1-2-2
"Обмерные работы и обследования зданий (1998г.)"</t>
  </si>
  <si>
    <t>1,1*0,034*0,75</t>
  </si>
  <si>
    <t>(11 Сейсмичность 7 баллов ПЗ=1,1;
, 3,40%- кровля таблица 9 п.10 ПЗ=0,034;
2.11 При выполнении работ с использованием и сверкой имеющихся чертежей и выдачей скорректированных чертежей заказчику ПЗ=0,75)</t>
  </si>
  <si>
    <t>Итого по разделу 2 Инженерные обследования</t>
  </si>
  <si>
    <t>Раздел 3. Проектные работы</t>
  </si>
  <si>
    <t>Жилые дома: двухэтажные</t>
  </si>
  <si>
    <t>СБЦП05-1-1-2-А
/Таблица: СБЦП05-1-1-2 параметр: А/ "Кап. ремонт зданий и сооружений жилищно-гражд. назн. (2012 г.)"</t>
  </si>
  <si>
    <t>1,1*0,072*0,3</t>
  </si>
  <si>
    <t>(Таб.11 п.4 Сейсмичность 7 баллов ПЗ=1,1;
Таб.12 п.6, п.7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    2) Ремонт (замена) кровли и ограждающих конструкций-2,1% ПЗ=0,072;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ПЗ=0,3)</t>
  </si>
  <si>
    <t>объект</t>
  </si>
  <si>
    <t>СБЦП05-1-1-2-Б
/Таблица: СБЦП05-1-1-2 параметр: Б/ "Кап. ремонт зданий и сооружений жилищно-гражд. назн. (2012 г.)"</t>
  </si>
  <si>
    <t>м3</t>
  </si>
  <si>
    <t>Итого по разделу 3 Проектные работы</t>
  </si>
  <si>
    <t>Раздел 4. ПОС</t>
  </si>
  <si>
    <t>1,1*0,072*0,04*0,3</t>
  </si>
  <si>
    <t>(Таб.11 п.4 Сейсмичность 7 баллов ПЗ=1,1;
Таб.12 п.6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    2) Ремонт (замена) кровли и ограждающих конструкций-2,1%           2). Ремонт, усиление, частичная замена перекрытий и покрытий-18,3%)                                    3) Ремонт (замена) кровли и ограждающих конструкций-2,1% ПЗ=0,072;
Таб.12 п.18 Проект организации строительства (ПОС): здания каркасные многоэтажные - 4,0% ПЗ=0,04;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ПЗ=0,3)</t>
  </si>
  <si>
    <t>(Таб.11 п.4 Сейсмичность 7 баллов ПЗ=1,1;
Таб.12 п.6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    2) Ремонт (замена) кровли и ограждающих конструкций-2,1% ПЗ=0,072;
Таб.12 п.18 Проект организации строительства (ПОС): здания каркасные многоэтажные - 4,0% ПЗ=0,04;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ПЗ=0,3)</t>
  </si>
  <si>
    <t>Итого по разделу 4 ПОС</t>
  </si>
  <si>
    <t>Раздел 5. Сметная документация</t>
  </si>
  <si>
    <t>1,1*0,072*0,05*0,3</t>
  </si>
  <si>
    <t>(Таб.11 п.4 Сейсмичность 7 баллов ПЗ=1,1;
Таб.12 п.6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    2) Ремонт (замена) кровли и ограждающих конструкций-2,1% ПЗ=0,072;
Таб.12 п.19 Сметная документация: здания бескаркасные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ПЗ=0,3)</t>
  </si>
  <si>
    <t>(Таб.11 п.4 Сейсмичность 7 баллов ПЗ=1,1;
Таб.12 п.6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    2) Ремонт (замена) кровли и ограждающих конструкций-2,1% ПЗ=0,072;
Таб.12 п.19 Сметная документация: здания 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ПЗ=0,3)</t>
  </si>
  <si>
    <t>Итого по разделу 5 Сметная документация</t>
  </si>
  <si>
    <t>Итого прямые затраты по смете в ценах 2001г.</t>
  </si>
  <si>
    <t>Итоги по смете:</t>
  </si>
  <si>
    <t xml:space="preserve">  Итого Поз. 3-8 "Проектные работы (приложение 3 к письму Минстроя России от 03.06.2016 №17269-ХМ/09) СМР=3,92"</t>
  </si>
  <si>
    <t xml:space="preserve">  Итого</t>
  </si>
  <si>
    <t xml:space="preserve">  НДС 18%</t>
  </si>
  <si>
    <t xml:space="preserve">  ВСЕГО по смете</t>
  </si>
  <si>
    <t>Объем</t>
  </si>
  <si>
    <t>Ед.изм.</t>
  </si>
  <si>
    <t>Обоснование</t>
  </si>
  <si>
    <t>(2.11 При выполнении работ с использованием и сверкой имеющихся чертежей и выдачей скорректированных чертежей заказчику. ПЗ=0,75;
11 Сейсмичность 7 баллов ПЗ=1,1;
10,59%-крыши, 1,18%-планы кровли со вскрытиями (табл.8 п. 12, п. 13) ПЗ=0,1177)</t>
  </si>
  <si>
    <t>(Таб.11 п.4 Сейсмичность 7 баллов ПЗ=1,1;
Таб.12 п.6, п.7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2). Ремонт (замена) кровли и ограждающих конструкций-2,1%) ПЗ=0,072;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ПЗ=0,3)</t>
  </si>
  <si>
    <t>(11 Сейсмичность 7 баллов ПЗ=1,1;
3,4%-кровля (таблица 9) ПЗ=0,034 (ОЗП=0,034; ЭМ=0,034 к расх.; ЗПМ=0,034; МАТ=0,034 к расх.; ТЗ=0,034; ТЗМ=0,034))(2.11 При выполнении работ с использованием и сверкой имеющихся чертежей и выдачей скорректированных чертежей заказчику. ПЗ=0,75;</t>
  </si>
  <si>
    <t>(Таб.11 п.4 Сейсмичность 7 баллов ПЗ=1,1;
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п.18 Проект организации строительства (ПОС): здания каркасные многоэтажные - 4,0% ПЗ=0,04;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ПЗ=0,3)</t>
  </si>
  <si>
    <t>(Таб.11 п.4 Сейсмичность 7 баллов ПЗ=1,1;
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п.19 Сметная документация: здания бескаркасные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ПЗ=0,3)</t>
  </si>
  <si>
    <t>(должность, подпись, расшифровка)</t>
  </si>
  <si>
    <t>СМЕТА №</t>
  </si>
  <si>
    <t>Здание жилое                     2 этажа    2 подъезда</t>
  </si>
  <si>
    <t>Год постройки                   1960</t>
  </si>
  <si>
    <t>Объем здания, м3              2558</t>
  </si>
  <si>
    <t>Наименование  объекта    2-х  этажный жилой дом по адресу:  Хабаровский край, р-он Хабаровский, п.Гаровка, ул.Морская, д.1</t>
  </si>
  <si>
    <t>Наименование организации заказчика      НО "Хабаровский краевой фонд капитального ремонта"</t>
  </si>
  <si>
    <t>на проектные  работы</t>
  </si>
  <si>
    <t xml:space="preserve">Составил: главный специалист СО НО "Хабаровский краевой фонд капитального ремонта" _____________________/Н.Г.Линькова   </t>
  </si>
  <si>
    <t xml:space="preserve">                                           Проверил : Начальник СО НО "Хабаровский краевой фонд капитального ремонта"____________________/ _____________Е.С. Сорокина</t>
  </si>
  <si>
    <t>УТВЕРЖДАЮ:</t>
  </si>
  <si>
    <t>_________________________________А.В.Сидорова</t>
  </si>
  <si>
    <t>Директор НО "Хабаровский краевой фонд капитального ремонта"</t>
  </si>
  <si>
    <t xml:space="preserve">  Итого Поз. 1-2 "Обмерные и инженерное обследование (приложение 3 к письму Минстроя России от 03.06.2016 №17269-ХМ/09) СМР=30,17"</t>
  </si>
  <si>
    <t>Вид проектных или изыскательских работ:   На разработку проектной документации на капитальный ремонт крыши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</si>
</sst>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8"/>
      <color rgb="FF000000"/>
      <name val="Arial Cyr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87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 inden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7" fillId="0" borderId="3" xfId="12" applyFont="1" applyBorder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10" fontId="7" fillId="0" borderId="3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right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7" fillId="0" borderId="1" xfId="5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3" xfId="0" applyNumberFormat="1" applyFont="1" applyBorder="1" applyAlignment="1">
      <alignment horizontal="center" vertical="top" wrapText="1"/>
    </xf>
    <xf numFmtId="0" fontId="4" fillId="0" borderId="0" xfId="0" applyFont="1"/>
    <xf numFmtId="0" fontId="14" fillId="0" borderId="0" xfId="0" applyFont="1"/>
    <xf numFmtId="0" fontId="14" fillId="0" borderId="0" xfId="0" applyFont="1" applyAlignment="1">
      <alignment horizontal="left" indent="1"/>
    </xf>
    <xf numFmtId="0" fontId="14" fillId="0" borderId="3" xfId="12" applyFont="1" applyBorder="1">
      <alignment horizontal="center" wrapText="1"/>
    </xf>
    <xf numFmtId="0" fontId="14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wrapText="1"/>
    </xf>
    <xf numFmtId="0" fontId="5" fillId="0" borderId="0" xfId="0" applyFont="1"/>
    <xf numFmtId="0" fontId="17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17" fillId="0" borderId="0" xfId="0" applyFont="1" applyAlignment="1">
      <alignment horizontal="center"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2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horizontal="left" vertical="top"/>
    </xf>
    <xf numFmtId="49" fontId="18" fillId="0" borderId="0" xfId="0" applyNumberFormat="1" applyFont="1" applyAlignment="1">
      <alignment horizontal="left" vertical="top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 vertical="top" wrapText="1"/>
    </xf>
    <xf numFmtId="0" fontId="14" fillId="0" borderId="0" xfId="0" applyFont="1" applyAlignment="1">
      <alignment horizontal="right" vertical="top"/>
    </xf>
    <xf numFmtId="0" fontId="8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/>
    </xf>
    <xf numFmtId="49" fontId="15" fillId="0" borderId="0" xfId="0" applyNumberFormat="1" applyFont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7" fillId="0" borderId="0" xfId="21" applyFont="1" applyBorder="1" applyAlignment="1">
      <alignment horizontal="left" wrapText="1"/>
    </xf>
    <xf numFmtId="0" fontId="7" fillId="0" borderId="0" xfId="0" applyFont="1" applyAlignment="1">
      <alignment horizontal="center"/>
    </xf>
    <xf numFmtId="0" fontId="5" fillId="0" borderId="0" xfId="0" applyFont="1" applyBorder="1" applyAlignment="1">
      <alignment horizontal="left" vertical="top"/>
    </xf>
    <xf numFmtId="49" fontId="8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16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15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top" wrapText="1"/>
    </xf>
    <xf numFmtId="0" fontId="7" fillId="0" borderId="1" xfId="5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0" fillId="0" borderId="0" xfId="0" applyAlignment="1"/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16</xdr:row>
          <xdr:rowOff>895350</xdr:rowOff>
        </xdr:from>
        <xdr:to>
          <xdr:col>1</xdr:col>
          <xdr:colOff>1152525</xdr:colOff>
          <xdr:row>16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B54"/>
  <sheetViews>
    <sheetView showGridLines="0" tabSelected="1" zoomScale="120" zoomScaleNormal="120" workbookViewId="0">
      <selection activeCell="A9" sqref="A9:M9"/>
    </sheetView>
  </sheetViews>
  <sheetFormatPr defaultRowHeight="12.75" outlineLevelRow="2" x14ac:dyDescent="0.2"/>
  <cols>
    <col min="1" max="1" width="5.7109375" style="1" customWidth="1"/>
    <col min="2" max="2" width="25.85546875" style="1" customWidth="1"/>
    <col min="3" max="3" width="28.42578125" style="1" customWidth="1"/>
    <col min="4" max="4" width="22.140625" style="1" customWidth="1"/>
    <col min="5" max="5" width="1.5703125" style="1" hidden="1" customWidth="1"/>
    <col min="6" max="6" width="17.28515625" style="1" hidden="1" customWidth="1"/>
    <col min="7" max="7" width="20.140625" style="1" hidden="1" customWidth="1"/>
    <col min="8" max="8" width="13" style="1" customWidth="1"/>
    <col min="9" max="9" width="12.140625" style="1" hidden="1" customWidth="1"/>
    <col min="10" max="10" width="11.7109375" style="1" hidden="1" customWidth="1"/>
    <col min="11" max="11" width="10.85546875" style="1" hidden="1" customWidth="1"/>
    <col min="12" max="12" width="0.28515625" style="1" customWidth="1"/>
    <col min="13" max="13" width="35.7109375" style="1" customWidth="1"/>
    <col min="14" max="14" width="7.28515625" style="27" customWidth="1"/>
    <col min="15" max="16" width="10.85546875" style="1" hidden="1" customWidth="1"/>
    <col min="17" max="17" width="13.140625" style="1" customWidth="1"/>
    <col min="18" max="19" width="9.140625" style="1" customWidth="1"/>
    <col min="20" max="27" width="9.140625" style="1"/>
    <col min="28" max="28" width="79.28515625" style="9" customWidth="1"/>
    <col min="29" max="16384" width="9.140625" style="1"/>
  </cols>
  <sheetData>
    <row r="1" spans="1:17" x14ac:dyDescent="0.2">
      <c r="A1" s="54"/>
      <c r="B1" s="54"/>
      <c r="C1" s="54"/>
      <c r="D1" s="54"/>
      <c r="M1" s="49" t="s">
        <v>64</v>
      </c>
      <c r="Q1" s="8"/>
    </row>
    <row r="2" spans="1:17" s="2" customFormat="1" ht="22.5" outlineLevel="2" x14ac:dyDescent="0.2">
      <c r="A2" s="43"/>
      <c r="B2" s="44"/>
      <c r="C2" s="45"/>
      <c r="D2" s="46"/>
      <c r="E2" s="47"/>
      <c r="F2" s="48"/>
      <c r="G2" s="48"/>
      <c r="H2" s="48"/>
      <c r="I2" s="49"/>
      <c r="J2" s="48"/>
      <c r="K2" s="48"/>
      <c r="L2" s="49"/>
      <c r="M2" s="53" t="s">
        <v>66</v>
      </c>
      <c r="N2" s="48"/>
      <c r="O2" s="48"/>
      <c r="P2" s="48"/>
      <c r="Q2" s="48"/>
    </row>
    <row r="3" spans="1:17" s="2" customFormat="1" outlineLevel="2" x14ac:dyDescent="0.2">
      <c r="A3" s="37"/>
      <c r="B3" s="34"/>
      <c r="C3" s="34"/>
      <c r="D3" s="50"/>
      <c r="E3" s="51"/>
      <c r="F3" s="52"/>
      <c r="G3" s="34"/>
      <c r="H3" s="34"/>
      <c r="I3" s="36"/>
      <c r="J3" s="36"/>
      <c r="K3" s="36"/>
      <c r="L3" s="36"/>
      <c r="M3" s="36"/>
      <c r="N3" s="36"/>
      <c r="O3" s="36"/>
      <c r="P3" s="48"/>
      <c r="Q3" s="48"/>
    </row>
    <row r="4" spans="1:17" s="2" customFormat="1" outlineLevel="2" x14ac:dyDescent="0.2">
      <c r="A4" s="56"/>
      <c r="B4" s="56"/>
      <c r="C4" s="56"/>
      <c r="D4" s="37"/>
      <c r="E4" s="51"/>
      <c r="F4" s="52"/>
      <c r="G4" s="34"/>
      <c r="H4" s="34"/>
      <c r="I4" s="74" t="s">
        <v>65</v>
      </c>
      <c r="J4" s="74"/>
      <c r="K4" s="74"/>
      <c r="L4" s="74"/>
      <c r="M4" s="74"/>
      <c r="N4" s="74"/>
      <c r="O4" s="74"/>
      <c r="P4" s="48"/>
      <c r="Q4" s="48"/>
    </row>
    <row r="5" spans="1:17" s="32" customFormat="1" ht="9" customHeight="1" x14ac:dyDescent="0.2">
      <c r="A5" s="37"/>
      <c r="B5" s="34"/>
      <c r="C5" s="34"/>
      <c r="D5" s="35"/>
      <c r="F5"/>
      <c r="G5" s="36"/>
      <c r="H5" s="34"/>
      <c r="I5" s="34"/>
      <c r="Q5" s="33"/>
    </row>
    <row r="6" spans="1:17" s="32" customFormat="1" x14ac:dyDescent="0.2">
      <c r="A6" s="37"/>
      <c r="B6" s="34"/>
      <c r="C6" s="34"/>
      <c r="D6" s="36"/>
      <c r="F6" s="34"/>
      <c r="G6" s="34"/>
      <c r="H6" s="34"/>
      <c r="I6" s="34"/>
      <c r="Q6" s="33"/>
    </row>
    <row r="7" spans="1:17" s="32" customFormat="1" ht="12.75" customHeight="1" x14ac:dyDescent="0.2">
      <c r="A7" s="37"/>
      <c r="B7" s="34"/>
      <c r="C7" s="34"/>
      <c r="D7" s="38" t="s">
        <v>55</v>
      </c>
      <c r="F7" s="34"/>
      <c r="G7" s="34"/>
      <c r="H7" s="34"/>
      <c r="I7" s="34"/>
      <c r="Q7" s="33"/>
    </row>
    <row r="8" spans="1:17" x14ac:dyDescent="0.2">
      <c r="A8" s="55" t="s">
        <v>61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</row>
    <row r="9" spans="1:17" s="32" customFormat="1" x14ac:dyDescent="0.2">
      <c r="A9" s="83" t="s">
        <v>59</v>
      </c>
      <c r="B9" s="83"/>
      <c r="C9" s="83"/>
      <c r="D9" s="83"/>
      <c r="E9" s="83"/>
      <c r="F9" s="83"/>
      <c r="G9" s="83"/>
      <c r="H9" s="83"/>
      <c r="I9" s="83"/>
      <c r="J9" s="86"/>
      <c r="K9" s="86"/>
      <c r="L9" s="86"/>
      <c r="M9" s="86"/>
      <c r="Q9" s="33"/>
    </row>
    <row r="10" spans="1:17" s="32" customFormat="1" x14ac:dyDescent="0.2">
      <c r="A10" s="84" t="s">
        <v>57</v>
      </c>
      <c r="B10" s="84"/>
      <c r="C10" s="39"/>
      <c r="D10" s="40"/>
      <c r="F10" s="34"/>
      <c r="G10" s="34"/>
      <c r="H10" s="34"/>
      <c r="I10" s="34"/>
      <c r="Q10" s="33"/>
    </row>
    <row r="11" spans="1:17" s="32" customFormat="1" x14ac:dyDescent="0.2">
      <c r="A11" s="85" t="s">
        <v>58</v>
      </c>
      <c r="B11" s="85"/>
      <c r="C11" s="39"/>
      <c r="D11" s="40"/>
      <c r="F11" s="34"/>
      <c r="G11" s="34"/>
      <c r="H11" s="34"/>
      <c r="I11" s="34"/>
      <c r="Q11" s="33"/>
    </row>
    <row r="12" spans="1:17" s="32" customFormat="1" x14ac:dyDescent="0.2">
      <c r="A12" s="41" t="s">
        <v>56</v>
      </c>
      <c r="B12" s="41"/>
      <c r="C12" s="39"/>
      <c r="D12" s="41"/>
      <c r="F12" s="34"/>
      <c r="G12" s="34"/>
      <c r="H12" s="34"/>
      <c r="I12" s="34"/>
      <c r="Q12" s="33"/>
    </row>
    <row r="13" spans="1:17" s="32" customFormat="1" ht="28.5" customHeight="1" x14ac:dyDescent="0.2">
      <c r="A13" s="83" t="s">
        <v>68</v>
      </c>
      <c r="B13" s="83"/>
      <c r="C13" s="83"/>
      <c r="D13" s="83"/>
      <c r="E13" s="83"/>
      <c r="F13" s="83"/>
      <c r="G13" s="83"/>
      <c r="H13" s="83"/>
      <c r="I13" s="78"/>
      <c r="J13" s="78"/>
      <c r="K13" s="78"/>
      <c r="L13" s="78"/>
      <c r="M13" s="78"/>
      <c r="N13" s="78"/>
      <c r="O13" s="78"/>
      <c r="P13" s="78"/>
      <c r="Q13" s="78"/>
    </row>
    <row r="14" spans="1:17" s="32" customFormat="1" x14ac:dyDescent="0.2">
      <c r="A14" s="83" t="s">
        <v>60</v>
      </c>
      <c r="B14" s="83"/>
      <c r="C14" s="83"/>
      <c r="D14" s="83"/>
      <c r="E14" s="83"/>
      <c r="F14" s="83"/>
      <c r="G14" s="83"/>
      <c r="H14" s="34"/>
      <c r="I14" s="34"/>
      <c r="Q14" s="42"/>
    </row>
    <row r="15" spans="1:17" hidden="1" x14ac:dyDescent="0.2">
      <c r="A15" s="2"/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29"/>
      <c r="O15" s="3"/>
      <c r="P15" s="3"/>
      <c r="Q15" s="3"/>
    </row>
    <row r="16" spans="1:17" s="5" customFormat="1" ht="21.75" customHeight="1" x14ac:dyDescent="0.2">
      <c r="A16" s="63" t="s">
        <v>0</v>
      </c>
      <c r="B16" s="63" t="s">
        <v>1</v>
      </c>
      <c r="C16" s="63" t="s">
        <v>2</v>
      </c>
      <c r="D16" s="63" t="s">
        <v>3</v>
      </c>
      <c r="E16" s="4"/>
      <c r="F16" s="4"/>
      <c r="G16" s="4"/>
      <c r="H16" s="63" t="s">
        <v>46</v>
      </c>
      <c r="I16" s="4"/>
      <c r="J16" s="4"/>
      <c r="K16" s="4"/>
      <c r="L16" s="4"/>
      <c r="M16" s="24"/>
      <c r="N16" s="66" t="s">
        <v>47</v>
      </c>
      <c r="O16" s="68" t="s">
        <v>4</v>
      </c>
      <c r="P16" s="69"/>
      <c r="Q16" s="70"/>
    </row>
    <row r="17" spans="1:28" s="5" customFormat="1" ht="75.75" customHeight="1" x14ac:dyDescent="0.2">
      <c r="A17" s="64"/>
      <c r="B17" s="64"/>
      <c r="C17" s="64"/>
      <c r="D17" s="64"/>
      <c r="E17" s="4"/>
      <c r="F17" s="4"/>
      <c r="G17" s="4"/>
      <c r="H17" s="65"/>
      <c r="I17" s="4"/>
      <c r="J17" s="4"/>
      <c r="K17" s="4"/>
      <c r="L17" s="4"/>
      <c r="M17" s="25" t="s">
        <v>48</v>
      </c>
      <c r="N17" s="67"/>
      <c r="O17" s="71"/>
      <c r="P17" s="72"/>
      <c r="Q17" s="73"/>
    </row>
    <row r="18" spans="1:28" x14ac:dyDescent="0.2">
      <c r="A18" s="10">
        <v>1</v>
      </c>
      <c r="B18" s="10">
        <v>2</v>
      </c>
      <c r="C18" s="10">
        <v>3</v>
      </c>
      <c r="D18" s="10">
        <v>4</v>
      </c>
      <c r="E18" s="10"/>
      <c r="F18" s="10"/>
      <c r="G18" s="10"/>
      <c r="H18" s="10">
        <v>5</v>
      </c>
      <c r="I18" s="10"/>
      <c r="J18" s="10"/>
      <c r="K18" s="10"/>
      <c r="L18" s="10"/>
      <c r="M18" s="10">
        <v>6</v>
      </c>
      <c r="N18" s="30">
        <v>7</v>
      </c>
      <c r="O18" s="10">
        <v>5</v>
      </c>
      <c r="P18" s="10">
        <v>6</v>
      </c>
      <c r="Q18" s="10">
        <v>8</v>
      </c>
    </row>
    <row r="19" spans="1:28" s="6" customFormat="1" ht="21" customHeight="1" x14ac:dyDescent="0.2">
      <c r="A19" s="59" t="s">
        <v>5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28" s="7" customFormat="1" ht="79.5" customHeight="1" x14ac:dyDescent="0.2">
      <c r="A20" s="16">
        <v>1</v>
      </c>
      <c r="B20" s="17" t="s">
        <v>6</v>
      </c>
      <c r="C20" s="17" t="s">
        <v>7</v>
      </c>
      <c r="D20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(2558 / 100) * 31.73 * 1,1*0,75*0,1177</v>
      </c>
      <c r="E20" s="19">
        <f>IF( 25.58 = "","0",25.58)</f>
        <v>25.58</v>
      </c>
      <c r="F20" s="19" t="str">
        <f ca="1">IF(INDIRECT("J" &amp; ROW())="текущие цены", IF(INDIRECT("G" &amp; ROW())="", "0", "0"), IF(INDIRECT("G" &amp; ROW())="", "3.08","31.73"))</f>
        <v>31.73</v>
      </c>
      <c r="G20" s="19" t="s">
        <v>8</v>
      </c>
      <c r="H20" s="19" t="s">
        <v>9</v>
      </c>
      <c r="I20" s="19"/>
      <c r="J20" s="19" t="s">
        <v>10</v>
      </c>
      <c r="K20" s="19" t="s">
        <v>11</v>
      </c>
      <c r="L20" s="19">
        <v>1</v>
      </c>
      <c r="M20" s="26" t="s">
        <v>49</v>
      </c>
      <c r="N20" s="26" t="s">
        <v>12</v>
      </c>
      <c r="O20" s="20">
        <f ca="1">IF(ISNUMBER(INDIRECT("P" &amp; ROW())), INDIRECT("P" &amp; ROW())*0.4, " ")</f>
        <v>31.6</v>
      </c>
      <c r="P20" s="20">
        <f ca="1">IF(ISNUMBER(INDIRECT("P" &amp; ROW())), INDIRECT("P" &amp; ROW())*0.6, " ")</f>
        <v>47.4</v>
      </c>
      <c r="Q20" s="20">
        <f ca="1">IF(INDIRECT("J" &amp; ROW())="текущие цены", 0, 79)</f>
        <v>79</v>
      </c>
      <c r="R20" s="6"/>
      <c r="S20" s="6"/>
      <c r="T20" s="6"/>
      <c r="U20" s="6"/>
      <c r="V20" s="6"/>
      <c r="AB20" s="6"/>
    </row>
    <row r="21" spans="1:28" x14ac:dyDescent="0.2">
      <c r="A21" s="61" t="s">
        <v>13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15">
        <f ca="1">IF(ISNUMBER(INDIRECT("P" &amp; ROW())), INDIRECT("P" &amp; ROW()) * 0.4, " ")</f>
        <v>31.6</v>
      </c>
      <c r="P21" s="15">
        <f ca="1">IF(ISNUMBER(INDIRECT("P" &amp; ROW())), INDIRECT("P" &amp; ROW()) * 0.6, " ")</f>
        <v>47.4</v>
      </c>
      <c r="Q21" s="15">
        <v>79</v>
      </c>
      <c r="R21" s="6"/>
      <c r="S21" s="6"/>
      <c r="T21" s="6"/>
      <c r="U21" s="6"/>
      <c r="V21" s="6"/>
    </row>
    <row r="22" spans="1:28" x14ac:dyDescent="0.2">
      <c r="A22" s="57" t="s">
        <v>14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21">
        <f ca="1">IF(ISNUMBER(INDIRECT("P" &amp; ROW())), INDIRECT("P" &amp; ROW()) * 0.4, " ")</f>
        <v>953.2</v>
      </c>
      <c r="P22" s="21">
        <f ca="1">IF(ISNUMBER(INDIRECT("P" &amp; ROW())), INDIRECT("P" &amp; ROW()) * 0.6, " ")</f>
        <v>1429.8</v>
      </c>
      <c r="Q22" s="21">
        <v>2383</v>
      </c>
      <c r="R22" s="6"/>
      <c r="S22" s="6"/>
      <c r="T22" s="6"/>
      <c r="U22" s="6"/>
      <c r="V22" s="6"/>
    </row>
    <row r="23" spans="1:28" ht="21" customHeight="1" x14ac:dyDescent="0.2">
      <c r="A23" s="59" t="s">
        <v>15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"/>
      <c r="S23" s="6"/>
      <c r="T23" s="6"/>
      <c r="U23" s="6"/>
      <c r="V23" s="6"/>
    </row>
    <row r="24" spans="1:28" ht="88.5" customHeight="1" x14ac:dyDescent="0.2">
      <c r="A24" s="16">
        <v>2</v>
      </c>
      <c r="B24" s="17" t="s">
        <v>16</v>
      </c>
      <c r="C24" s="17" t="s">
        <v>17</v>
      </c>
      <c r="D24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(2558 / 100) * 28.5 * 1,1*0,034*0,75</v>
      </c>
      <c r="E24" s="19">
        <f>IF( 25.58 = "","0",25.58)</f>
        <v>25.58</v>
      </c>
      <c r="F24" s="19" t="str">
        <f ca="1">IF(INDIRECT("J" &amp; ROW())="текущие цены", IF(INDIRECT("G" &amp; ROW())="", "0", "0"), IF(INDIRECT("G" &amp; ROW())="", "0.8","28.5"))</f>
        <v>28.5</v>
      </c>
      <c r="G24" s="19" t="s">
        <v>18</v>
      </c>
      <c r="H24" s="19" t="s">
        <v>9</v>
      </c>
      <c r="I24" s="19"/>
      <c r="J24" s="19" t="s">
        <v>10</v>
      </c>
      <c r="K24" s="19" t="s">
        <v>19</v>
      </c>
      <c r="L24" s="19">
        <v>2</v>
      </c>
      <c r="M24" s="26" t="s">
        <v>51</v>
      </c>
      <c r="N24" s="26" t="s">
        <v>12</v>
      </c>
      <c r="O24" s="20">
        <f ca="1">IF(ISNUMBER(INDIRECT("P" &amp; ROW())), INDIRECT("P" &amp; ROW())*0.4, " ")</f>
        <v>8</v>
      </c>
      <c r="P24" s="20">
        <f ca="1">IF(ISNUMBER(INDIRECT("P" &amp; ROW())), INDIRECT("P" &amp; ROW())*0.6, " ")</f>
        <v>12</v>
      </c>
      <c r="Q24" s="20">
        <f ca="1">IF(INDIRECT("J" &amp; ROW())="текущие цены", 0, 20)</f>
        <v>20</v>
      </c>
      <c r="R24" s="6"/>
      <c r="S24" s="6"/>
      <c r="T24" s="6"/>
      <c r="U24" s="6"/>
      <c r="V24" s="6"/>
    </row>
    <row r="25" spans="1:28" x14ac:dyDescent="0.2">
      <c r="A25" s="61" t="s">
        <v>13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15">
        <f ca="1">IF(ISNUMBER(INDIRECT("P" &amp; ROW())), INDIRECT("P" &amp; ROW()) * 0.4, " ")</f>
        <v>8</v>
      </c>
      <c r="P25" s="15">
        <f ca="1">IF(ISNUMBER(INDIRECT("P" &amp; ROW())), INDIRECT("P" &amp; ROW()) * 0.6, " ")</f>
        <v>12</v>
      </c>
      <c r="Q25" s="15">
        <v>20</v>
      </c>
      <c r="R25" s="6"/>
      <c r="S25" s="6"/>
      <c r="T25" s="6"/>
      <c r="U25" s="6"/>
      <c r="V25" s="6"/>
    </row>
    <row r="26" spans="1:28" x14ac:dyDescent="0.2">
      <c r="A26" s="57" t="s">
        <v>20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21">
        <f ca="1">IF(ISNUMBER(INDIRECT("P" &amp; ROW())), INDIRECT("P" &amp; ROW()) * 0.4, " ")</f>
        <v>241.20000000000002</v>
      </c>
      <c r="P26" s="21">
        <f ca="1">IF(ISNUMBER(INDIRECT("P" &amp; ROW())), INDIRECT("P" &amp; ROW()) * 0.6, " ")</f>
        <v>361.8</v>
      </c>
      <c r="Q26" s="21">
        <v>603</v>
      </c>
      <c r="R26" s="6"/>
      <c r="S26" s="6"/>
      <c r="T26" s="6"/>
      <c r="U26" s="6"/>
      <c r="V26" s="6"/>
    </row>
    <row r="27" spans="1:28" ht="21" customHeight="1" x14ac:dyDescent="0.2">
      <c r="A27" s="59" t="s">
        <v>21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"/>
      <c r="S27" s="6"/>
      <c r="T27" s="6"/>
      <c r="U27" s="6"/>
      <c r="V27" s="6"/>
    </row>
    <row r="28" spans="1:28" ht="143.25" customHeight="1" x14ac:dyDescent="0.2">
      <c r="A28" s="11">
        <v>3</v>
      </c>
      <c r="B28" s="12" t="s">
        <v>22</v>
      </c>
      <c r="C28" s="12" t="s">
        <v>23</v>
      </c>
      <c r="D28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90000 * 1,1*0,072*0,3</v>
      </c>
      <c r="E28" s="14">
        <f>IF( 1 = "","0",1)</f>
        <v>1</v>
      </c>
      <c r="F28" s="14" t="str">
        <f ca="1">IF(INDIRECT("J" &amp; ROW())="текущие цены", IF(INDIRECT("G" &amp; ROW())="", "0", "0"), IF(INDIRECT("G" &amp; ROW())="", "2138.4","90000"))</f>
        <v>90000</v>
      </c>
      <c r="G28" s="14" t="s">
        <v>24</v>
      </c>
      <c r="H28" s="14"/>
      <c r="I28" s="14"/>
      <c r="J28" s="14" t="s">
        <v>10</v>
      </c>
      <c r="K28" s="14" t="s">
        <v>25</v>
      </c>
      <c r="L28" s="14">
        <v>3</v>
      </c>
      <c r="M28" s="31" t="s">
        <v>50</v>
      </c>
      <c r="N28" s="31" t="s">
        <v>26</v>
      </c>
      <c r="O28" s="15">
        <f ca="1">IF(ISNUMBER(INDIRECT("P" &amp; ROW())), INDIRECT("P" &amp; ROW())*0.4, " ")</f>
        <v>855.2</v>
      </c>
      <c r="P28" s="15">
        <f ca="1">IF(ISNUMBER(INDIRECT("P" &amp; ROW())), INDIRECT("P" &amp; ROW())*0.6, " ")</f>
        <v>1282.8</v>
      </c>
      <c r="Q28" s="15">
        <f ca="1">IF(INDIRECT("J" &amp; ROW())="текущие цены", 0, 2138)</f>
        <v>2138</v>
      </c>
      <c r="R28" s="6"/>
      <c r="S28" s="6"/>
      <c r="T28" s="6"/>
      <c r="U28" s="6"/>
      <c r="V28" s="6"/>
    </row>
    <row r="29" spans="1:28" ht="143.25" customHeight="1" x14ac:dyDescent="0.2">
      <c r="A29" s="16">
        <v>4</v>
      </c>
      <c r="B29" s="17" t="s">
        <v>22</v>
      </c>
      <c r="C29" s="17" t="s">
        <v>27</v>
      </c>
      <c r="D29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2558 * 10 * 1,1*0,072*0,3</v>
      </c>
      <c r="E29" s="19">
        <f>IF( 2558 = "","0",2558)</f>
        <v>2558</v>
      </c>
      <c r="F29" s="19" t="str">
        <f ca="1">IF(INDIRECT("J" &amp; ROW())="текущие цены", IF(INDIRECT("G" &amp; ROW())="", "0", "0"), IF(INDIRECT("G" &amp; ROW())="", "0.24","10"))</f>
        <v>10</v>
      </c>
      <c r="G29" s="19" t="s">
        <v>24</v>
      </c>
      <c r="H29" s="19"/>
      <c r="I29" s="19"/>
      <c r="J29" s="19" t="s">
        <v>10</v>
      </c>
      <c r="K29" s="19" t="s">
        <v>25</v>
      </c>
      <c r="L29" s="19">
        <v>3</v>
      </c>
      <c r="M29" s="26" t="s">
        <v>50</v>
      </c>
      <c r="N29" s="26" t="s">
        <v>28</v>
      </c>
      <c r="O29" s="20">
        <f ca="1">IF(ISNUMBER(INDIRECT("P" &amp; ROW())), INDIRECT("P" &amp; ROW())*0.4, " ")</f>
        <v>245.60000000000002</v>
      </c>
      <c r="P29" s="20">
        <f ca="1">IF(ISNUMBER(INDIRECT("P" &amp; ROW())), INDIRECT("P" &amp; ROW())*0.6, " ")</f>
        <v>368.4</v>
      </c>
      <c r="Q29" s="20">
        <f ca="1">IF(INDIRECT("J" &amp; ROW())="текущие цены", 0, 614)</f>
        <v>614</v>
      </c>
      <c r="R29" s="6"/>
      <c r="S29" s="6"/>
      <c r="T29" s="6"/>
      <c r="U29" s="6"/>
      <c r="V29" s="6"/>
    </row>
    <row r="30" spans="1:28" x14ac:dyDescent="0.2">
      <c r="A30" s="61" t="s">
        <v>13</v>
      </c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15">
        <f ca="1">IF(ISNUMBER(INDIRECT("P" &amp; ROW())), INDIRECT("P" &amp; ROW()) * 0.4, " ")</f>
        <v>1100.8</v>
      </c>
      <c r="P30" s="15">
        <f ca="1">IF(ISNUMBER(INDIRECT("P" &amp; ROW())), INDIRECT("P" &amp; ROW()) * 0.6, " ")</f>
        <v>1651.2</v>
      </c>
      <c r="Q30" s="15">
        <v>2752</v>
      </c>
      <c r="R30" s="6"/>
      <c r="S30" s="6"/>
      <c r="T30" s="6"/>
      <c r="U30" s="6"/>
      <c r="V30" s="6"/>
    </row>
    <row r="31" spans="1:28" x14ac:dyDescent="0.2">
      <c r="A31" s="57" t="s">
        <v>29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21">
        <f ca="1">IF(ISNUMBER(INDIRECT("P" &amp; ROW())), INDIRECT("P" &amp; ROW()) * 0.4, " ")</f>
        <v>4315.2</v>
      </c>
      <c r="P31" s="21">
        <f ca="1">IF(ISNUMBER(INDIRECT("P" &amp; ROW())), INDIRECT("P" &amp; ROW()) * 0.6, " ")</f>
        <v>6472.8</v>
      </c>
      <c r="Q31" s="21">
        <v>10788</v>
      </c>
      <c r="R31" s="6"/>
      <c r="S31" s="6"/>
      <c r="T31" s="6"/>
      <c r="U31" s="6"/>
      <c r="V31" s="6"/>
    </row>
    <row r="32" spans="1:28" ht="21" customHeight="1" x14ac:dyDescent="0.2">
      <c r="A32" s="59" t="s">
        <v>30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"/>
      <c r="S32" s="6"/>
      <c r="T32" s="6"/>
      <c r="U32" s="6"/>
      <c r="V32" s="6"/>
    </row>
    <row r="33" spans="1:22" ht="160.5" customHeight="1" x14ac:dyDescent="0.2">
      <c r="A33" s="11">
        <v>5</v>
      </c>
      <c r="B33" s="12" t="s">
        <v>22</v>
      </c>
      <c r="C33" s="12" t="s">
        <v>23</v>
      </c>
      <c r="D33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90000 * 1,1*0,072*0,04*0,3</v>
      </c>
      <c r="E33" s="14">
        <f>IF( 1 = "","0",1)</f>
        <v>1</v>
      </c>
      <c r="F33" s="14" t="str">
        <f ca="1">IF(INDIRECT("J" &amp; ROW())="текущие цены", IF(INDIRECT("G" &amp; ROW())="", "0", "0"), IF(INDIRECT("G" &amp; ROW())="", "85.54","90000"))</f>
        <v>90000</v>
      </c>
      <c r="G33" s="14" t="s">
        <v>31</v>
      </c>
      <c r="H33" s="14"/>
      <c r="I33" s="14"/>
      <c r="J33" s="14" t="s">
        <v>10</v>
      </c>
      <c r="K33" s="14" t="s">
        <v>32</v>
      </c>
      <c r="L33" s="14">
        <v>4</v>
      </c>
      <c r="M33" s="26" t="s">
        <v>52</v>
      </c>
      <c r="N33" s="31" t="s">
        <v>26</v>
      </c>
      <c r="O33" s="15">
        <f ca="1">IF(ISNUMBER(INDIRECT("P" &amp; ROW())), INDIRECT("P" &amp; ROW())*0.4, " ")</f>
        <v>34.4</v>
      </c>
      <c r="P33" s="15">
        <f ca="1">IF(ISNUMBER(INDIRECT("P" &amp; ROW())), INDIRECT("P" &amp; ROW())*0.6, " ")</f>
        <v>51.6</v>
      </c>
      <c r="Q33" s="15">
        <f ca="1">IF(INDIRECT("J" &amp; ROW())="текущие цены", 0, 86)</f>
        <v>86</v>
      </c>
      <c r="R33" s="6"/>
      <c r="S33" s="6"/>
      <c r="T33" s="6"/>
      <c r="U33" s="6"/>
      <c r="V33" s="6"/>
    </row>
    <row r="34" spans="1:22" ht="158.25" customHeight="1" x14ac:dyDescent="0.2">
      <c r="A34" s="16">
        <v>6</v>
      </c>
      <c r="B34" s="17" t="s">
        <v>22</v>
      </c>
      <c r="C34" s="17" t="s">
        <v>27</v>
      </c>
      <c r="D34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2558 * 10 * 1,1*0,072*0,04*0,3</v>
      </c>
      <c r="E34" s="19">
        <f>IF( 2558 = "","0",2558)</f>
        <v>2558</v>
      </c>
      <c r="F34" s="19" t="str">
        <f ca="1">IF(INDIRECT("J" &amp; ROW())="текущие цены", IF(INDIRECT("G" &amp; ROW())="", "0", "0"), IF(INDIRECT("G" &amp; ROW())="", "0.01","10"))</f>
        <v>10</v>
      </c>
      <c r="G34" s="19" t="s">
        <v>31</v>
      </c>
      <c r="H34" s="19"/>
      <c r="I34" s="19"/>
      <c r="J34" s="19" t="s">
        <v>10</v>
      </c>
      <c r="K34" s="19" t="s">
        <v>33</v>
      </c>
      <c r="L34" s="19">
        <v>4</v>
      </c>
      <c r="M34" s="26" t="s">
        <v>52</v>
      </c>
      <c r="N34" s="26" t="s">
        <v>28</v>
      </c>
      <c r="O34" s="20">
        <f ca="1">IF(ISNUMBER(INDIRECT("P" &amp; ROW())), INDIRECT("P" &amp; ROW())*0.4, " ")</f>
        <v>10.4</v>
      </c>
      <c r="P34" s="20">
        <f ca="1">IF(ISNUMBER(INDIRECT("P" &amp; ROW())), INDIRECT("P" &amp; ROW())*0.6, " ")</f>
        <v>15.6</v>
      </c>
      <c r="Q34" s="20">
        <f ca="1">IF(INDIRECT("J" &amp; ROW())="текущие цены", 0, 26)</f>
        <v>26</v>
      </c>
      <c r="R34" s="6"/>
      <c r="S34" s="6"/>
      <c r="T34" s="6"/>
      <c r="U34" s="6"/>
      <c r="V34" s="6"/>
    </row>
    <row r="35" spans="1:22" x14ac:dyDescent="0.2">
      <c r="A35" s="61" t="s">
        <v>13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15">
        <f ca="1">IF(ISNUMBER(INDIRECT("P" &amp; ROW())), INDIRECT("P" &amp; ROW()) * 0.4, " ")</f>
        <v>44.800000000000004</v>
      </c>
      <c r="P35" s="15">
        <f ca="1">IF(ISNUMBER(INDIRECT("P" &amp; ROW())), INDIRECT("P" &amp; ROW()) * 0.6, " ")</f>
        <v>67.2</v>
      </c>
      <c r="Q35" s="15">
        <v>112</v>
      </c>
      <c r="R35" s="6"/>
      <c r="S35" s="6"/>
      <c r="T35" s="6"/>
      <c r="U35" s="6"/>
      <c r="V35" s="6"/>
    </row>
    <row r="36" spans="1:22" x14ac:dyDescent="0.2">
      <c r="A36" s="57" t="s">
        <v>34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21">
        <f ca="1">IF(ISNUMBER(INDIRECT("P" &amp; ROW())), INDIRECT("P" &amp; ROW()) * 0.4, " ")</f>
        <v>175.60000000000002</v>
      </c>
      <c r="P36" s="21">
        <f ca="1">IF(ISNUMBER(INDIRECT("P" &amp; ROW())), INDIRECT("P" &amp; ROW()) * 0.6, " ")</f>
        <v>263.39999999999998</v>
      </c>
      <c r="Q36" s="21">
        <v>439</v>
      </c>
      <c r="R36" s="6"/>
      <c r="S36" s="6"/>
      <c r="T36" s="6"/>
      <c r="U36" s="6"/>
      <c r="V36" s="6"/>
    </row>
    <row r="37" spans="1:22" ht="21" customHeight="1" x14ac:dyDescent="0.2">
      <c r="A37" s="59" t="s">
        <v>35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"/>
      <c r="S37" s="6"/>
      <c r="T37" s="6"/>
      <c r="U37" s="6"/>
      <c r="V37" s="6"/>
    </row>
    <row r="38" spans="1:22" ht="146.25" customHeight="1" x14ac:dyDescent="0.2">
      <c r="A38" s="11">
        <v>7</v>
      </c>
      <c r="B38" s="12" t="s">
        <v>22</v>
      </c>
      <c r="C38" s="12" t="s">
        <v>23</v>
      </c>
      <c r="D38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90000 * 1,1*0,072*0,05*0,3</v>
      </c>
      <c r="E38" s="14">
        <f>IF( 1 = "","0",1)</f>
        <v>1</v>
      </c>
      <c r="F38" s="14" t="str">
        <f ca="1">IF(INDIRECT("J" &amp; ROW())="текущие цены", IF(INDIRECT("G" &amp; ROW())="", "0", "0"), IF(INDIRECT("G" &amp; ROW())="", "106.92","90000"))</f>
        <v>90000</v>
      </c>
      <c r="G38" s="14" t="s">
        <v>36</v>
      </c>
      <c r="H38" s="14"/>
      <c r="I38" s="14"/>
      <c r="J38" s="14" t="s">
        <v>10</v>
      </c>
      <c r="K38" s="14" t="s">
        <v>37</v>
      </c>
      <c r="L38" s="14">
        <v>5</v>
      </c>
      <c r="M38" s="31" t="s">
        <v>53</v>
      </c>
      <c r="N38" s="31" t="s">
        <v>26</v>
      </c>
      <c r="O38" s="15">
        <f ca="1">IF(ISNUMBER(INDIRECT("P" &amp; ROW())), INDIRECT("P" &amp; ROW())*0.4, " ")</f>
        <v>42.800000000000004</v>
      </c>
      <c r="P38" s="15">
        <f ca="1">IF(ISNUMBER(INDIRECT("P" &amp; ROW())), INDIRECT("P" &amp; ROW())*0.6, " ")</f>
        <v>64.2</v>
      </c>
      <c r="Q38" s="15">
        <f ca="1">IF(INDIRECT("J" &amp; ROW())="текущие цены", 0, 107)</f>
        <v>107</v>
      </c>
      <c r="R38" s="6"/>
      <c r="S38" s="6"/>
      <c r="T38" s="6"/>
      <c r="U38" s="6"/>
      <c r="V38" s="6"/>
    </row>
    <row r="39" spans="1:22" ht="146.25" customHeight="1" x14ac:dyDescent="0.2">
      <c r="A39" s="16">
        <v>8</v>
      </c>
      <c r="B39" s="17" t="s">
        <v>22</v>
      </c>
      <c r="C39" s="17" t="s">
        <v>27</v>
      </c>
      <c r="D39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2558 * 10 * 1,1*0,072*0,05*0,3</v>
      </c>
      <c r="E39" s="19">
        <f>IF( 2558 = "","0",2558)</f>
        <v>2558</v>
      </c>
      <c r="F39" s="19" t="str">
        <f ca="1">IF(INDIRECT("J" &amp; ROW())="текущие цены", IF(INDIRECT("G" &amp; ROW())="", "0", "0"), IF(INDIRECT("G" &amp; ROW())="", "0.01","10"))</f>
        <v>10</v>
      </c>
      <c r="G39" s="19" t="s">
        <v>36</v>
      </c>
      <c r="H39" s="19"/>
      <c r="I39" s="19"/>
      <c r="J39" s="19" t="s">
        <v>10</v>
      </c>
      <c r="K39" s="19" t="s">
        <v>38</v>
      </c>
      <c r="L39" s="19">
        <v>5</v>
      </c>
      <c r="M39" s="31" t="s">
        <v>53</v>
      </c>
      <c r="N39" s="26" t="s">
        <v>28</v>
      </c>
      <c r="O39" s="20">
        <f ca="1">IF(ISNUMBER(INDIRECT("P" &amp; ROW())), INDIRECT("P" &amp; ROW())*0.4, " ")</f>
        <v>10.4</v>
      </c>
      <c r="P39" s="20">
        <f ca="1">IF(ISNUMBER(INDIRECT("P" &amp; ROW())), INDIRECT("P" &amp; ROW())*0.6, " ")</f>
        <v>15.6</v>
      </c>
      <c r="Q39" s="20">
        <f ca="1">IF(INDIRECT("J" &amp; ROW())="текущие цены", 0, 26)</f>
        <v>26</v>
      </c>
      <c r="R39" s="6"/>
      <c r="S39" s="6"/>
      <c r="T39" s="6"/>
      <c r="U39" s="6"/>
      <c r="V39" s="6"/>
    </row>
    <row r="40" spans="1:22" x14ac:dyDescent="0.2">
      <c r="A40" s="61" t="s">
        <v>13</v>
      </c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15">
        <f t="shared" ref="O40:O48" ca="1" si="0">IF(ISNUMBER(INDIRECT("P" &amp; ROW())), INDIRECT("P" &amp; ROW()) * 0.4, " ")</f>
        <v>53.2</v>
      </c>
      <c r="P40" s="15">
        <f t="shared" ref="P40:P48" ca="1" si="1">IF(ISNUMBER(INDIRECT("P" &amp; ROW())), INDIRECT("P" &amp; ROW()) * 0.6, " ")</f>
        <v>79.8</v>
      </c>
      <c r="Q40" s="15">
        <v>133</v>
      </c>
      <c r="R40" s="6"/>
      <c r="S40" s="6"/>
      <c r="T40" s="6"/>
      <c r="U40" s="6"/>
      <c r="V40" s="6"/>
    </row>
    <row r="41" spans="1:22" x14ac:dyDescent="0.2">
      <c r="A41" s="57" t="s">
        <v>39</v>
      </c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21">
        <f t="shared" ca="1" si="0"/>
        <v>208.4</v>
      </c>
      <c r="P41" s="21">
        <f t="shared" ca="1" si="1"/>
        <v>312.59999999999997</v>
      </c>
      <c r="Q41" s="21">
        <v>521</v>
      </c>
      <c r="R41" s="6"/>
      <c r="S41" s="6"/>
      <c r="T41" s="6"/>
      <c r="U41" s="6"/>
      <c r="V41" s="6"/>
    </row>
    <row r="42" spans="1:22" x14ac:dyDescent="0.2">
      <c r="A42" s="80" t="s">
        <v>40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22">
        <f t="shared" ca="1" si="0"/>
        <v>1238.4000000000001</v>
      </c>
      <c r="P42" s="22">
        <f t="shared" ca="1" si="1"/>
        <v>1857.6</v>
      </c>
      <c r="Q42" s="22">
        <v>3096</v>
      </c>
      <c r="R42" s="6"/>
      <c r="S42" s="6"/>
      <c r="T42" s="6"/>
      <c r="U42" s="6"/>
      <c r="V42" s="6"/>
    </row>
    <row r="43" spans="1:22" x14ac:dyDescent="0.2">
      <c r="A43" s="81" t="s">
        <v>41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23" t="str">
        <f t="shared" ca="1" si="0"/>
        <v xml:space="preserve"> </v>
      </c>
      <c r="P43" s="23" t="str">
        <f t="shared" ca="1" si="1"/>
        <v xml:space="preserve"> </v>
      </c>
      <c r="Q43" s="23"/>
      <c r="R43" s="6"/>
      <c r="S43" s="6"/>
      <c r="T43" s="6"/>
      <c r="U43" s="6"/>
      <c r="V43" s="6"/>
    </row>
    <row r="44" spans="1:22" ht="27.95" customHeight="1" x14ac:dyDescent="0.2">
      <c r="A44" s="80" t="s">
        <v>67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22">
        <f t="shared" ca="1" si="0"/>
        <v>1194.8</v>
      </c>
      <c r="P44" s="22">
        <f t="shared" ca="1" si="1"/>
        <v>1792.2</v>
      </c>
      <c r="Q44" s="22">
        <v>2987</v>
      </c>
      <c r="R44" s="6"/>
      <c r="S44" s="6"/>
      <c r="T44" s="6"/>
      <c r="U44" s="6"/>
      <c r="V44" s="6"/>
    </row>
    <row r="45" spans="1:22" ht="27.95" customHeight="1" x14ac:dyDescent="0.2">
      <c r="A45" s="80" t="s">
        <v>42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22">
        <f t="shared" ca="1" si="0"/>
        <v>4699.2</v>
      </c>
      <c r="P45" s="22">
        <f t="shared" ca="1" si="1"/>
        <v>7048.8</v>
      </c>
      <c r="Q45" s="22">
        <v>11748</v>
      </c>
      <c r="R45" s="6"/>
      <c r="S45" s="6"/>
      <c r="T45" s="6"/>
      <c r="U45" s="6"/>
      <c r="V45" s="6"/>
    </row>
    <row r="46" spans="1:22" x14ac:dyDescent="0.2">
      <c r="A46" s="80" t="s">
        <v>43</v>
      </c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22">
        <f t="shared" ca="1" si="0"/>
        <v>5894</v>
      </c>
      <c r="P46" s="22">
        <f t="shared" ca="1" si="1"/>
        <v>8841</v>
      </c>
      <c r="Q46" s="22">
        <v>14735</v>
      </c>
      <c r="R46" s="6"/>
      <c r="S46" s="6"/>
      <c r="T46" s="6"/>
      <c r="U46" s="6"/>
      <c r="V46" s="6"/>
    </row>
    <row r="47" spans="1:22" x14ac:dyDescent="0.2">
      <c r="A47" s="80" t="s">
        <v>44</v>
      </c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22">
        <f t="shared" ca="1" si="0"/>
        <v>1060.92</v>
      </c>
      <c r="P47" s="22">
        <f t="shared" ca="1" si="1"/>
        <v>1591.38</v>
      </c>
      <c r="Q47" s="22">
        <v>2652.3</v>
      </c>
      <c r="R47" s="6"/>
      <c r="S47" s="6"/>
      <c r="T47" s="6"/>
      <c r="U47" s="6"/>
      <c r="V47" s="6"/>
    </row>
    <row r="48" spans="1:22" x14ac:dyDescent="0.2">
      <c r="A48" s="81" t="s">
        <v>45</v>
      </c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23">
        <f t="shared" ca="1" si="0"/>
        <v>6954.92</v>
      </c>
      <c r="P48" s="23">
        <f t="shared" ca="1" si="1"/>
        <v>10432.379999999999</v>
      </c>
      <c r="Q48" s="23">
        <v>17387.3</v>
      </c>
      <c r="R48" s="6"/>
      <c r="S48" s="6"/>
      <c r="T48" s="6"/>
      <c r="U48" s="6"/>
      <c r="V48" s="6"/>
    </row>
    <row r="49" spans="1:23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8"/>
      <c r="O49" s="2"/>
      <c r="P49" s="2"/>
      <c r="Q49" s="2"/>
      <c r="R49" s="7"/>
      <c r="S49" s="7"/>
      <c r="T49" s="7"/>
      <c r="U49" s="7"/>
      <c r="V49" s="7"/>
    </row>
    <row r="50" spans="1:23" s="32" customFormat="1" ht="16.5" customHeight="1" x14ac:dyDescent="0.2">
      <c r="A50" s="77" t="s">
        <v>62</v>
      </c>
      <c r="B50" s="79"/>
      <c r="C50" s="79"/>
      <c r="D50" s="79"/>
      <c r="E50" s="79"/>
      <c r="F50" s="79"/>
      <c r="G50" s="79"/>
      <c r="H50" s="79"/>
      <c r="I50" s="78"/>
      <c r="J50" s="78"/>
      <c r="K50" s="78"/>
      <c r="L50" s="78"/>
      <c r="M50" s="78"/>
      <c r="N50" s="78"/>
      <c r="O50" s="78"/>
      <c r="P50" s="78"/>
      <c r="Q50" s="78"/>
    </row>
    <row r="51" spans="1:23" s="32" customFormat="1" ht="21.75" customHeight="1" x14ac:dyDescent="0.2">
      <c r="A51" s="75" t="s">
        <v>54</v>
      </c>
      <c r="B51" s="76"/>
      <c r="C51" s="76"/>
      <c r="D51" s="76"/>
      <c r="E51" s="76"/>
      <c r="F51" s="76"/>
      <c r="G51" s="76"/>
      <c r="H51" s="76"/>
      <c r="Q51" s="33"/>
    </row>
    <row r="52" spans="1:23" s="32" customFormat="1" ht="14.25" customHeight="1" x14ac:dyDescent="0.2">
      <c r="A52" s="77" t="s">
        <v>63</v>
      </c>
      <c r="B52" s="77"/>
      <c r="C52" s="77"/>
      <c r="D52" s="77"/>
      <c r="E52" s="77"/>
      <c r="F52" s="77"/>
      <c r="G52" s="77"/>
      <c r="H52" s="77"/>
      <c r="I52" s="78"/>
      <c r="J52" s="78"/>
      <c r="K52" s="78"/>
      <c r="L52" s="78"/>
      <c r="M52" s="78"/>
      <c r="N52" s="78"/>
      <c r="O52" s="78"/>
      <c r="P52" s="78"/>
      <c r="Q52" s="78"/>
    </row>
    <row r="53" spans="1:23" s="32" customFormat="1" ht="12.75" customHeight="1" x14ac:dyDescent="0.2">
      <c r="A53" s="75" t="s">
        <v>54</v>
      </c>
      <c r="B53" s="76"/>
      <c r="C53" s="76"/>
      <c r="D53" s="76"/>
      <c r="E53" s="76"/>
      <c r="F53" s="76"/>
      <c r="G53" s="76"/>
      <c r="H53" s="76"/>
      <c r="W53" s="33"/>
    </row>
    <row r="54" spans="1:23" s="32" customFormat="1" ht="14.25" customHeight="1" x14ac:dyDescent="0.2">
      <c r="A54" s="77"/>
      <c r="B54" s="77"/>
      <c r="C54" s="77"/>
      <c r="D54" s="77"/>
      <c r="E54" s="77"/>
      <c r="F54" s="77"/>
      <c r="G54" s="77"/>
      <c r="H54" s="77"/>
      <c r="I54" s="78"/>
      <c r="J54" s="78"/>
      <c r="K54" s="78"/>
      <c r="L54" s="78"/>
      <c r="Q54" s="33"/>
    </row>
  </sheetData>
  <mergeCells count="43">
    <mergeCell ref="A14:G14"/>
    <mergeCell ref="A13:Q13"/>
    <mergeCell ref="A10:B10"/>
    <mergeCell ref="A11:B11"/>
    <mergeCell ref="A9:M9"/>
    <mergeCell ref="I4:O4"/>
    <mergeCell ref="A51:H51"/>
    <mergeCell ref="A53:H53"/>
    <mergeCell ref="A54:L54"/>
    <mergeCell ref="A50:Q50"/>
    <mergeCell ref="A52:Q52"/>
    <mergeCell ref="A47:N47"/>
    <mergeCell ref="A48:N48"/>
    <mergeCell ref="A42:N42"/>
    <mergeCell ref="A43:N43"/>
    <mergeCell ref="A44:N44"/>
    <mergeCell ref="A45:N45"/>
    <mergeCell ref="A46:N46"/>
    <mergeCell ref="A22:N22"/>
    <mergeCell ref="C16:C17"/>
    <mergeCell ref="D16:D17"/>
    <mergeCell ref="B16:B17"/>
    <mergeCell ref="A19:Q19"/>
    <mergeCell ref="A21:N21"/>
    <mergeCell ref="H16:H17"/>
    <mergeCell ref="N16:N17"/>
    <mergeCell ref="O16:Q17"/>
    <mergeCell ref="A1:D1"/>
    <mergeCell ref="A8:Q8"/>
    <mergeCell ref="A4:C4"/>
    <mergeCell ref="A41:N41"/>
    <mergeCell ref="A23:Q23"/>
    <mergeCell ref="A25:N25"/>
    <mergeCell ref="A26:N26"/>
    <mergeCell ref="A27:Q27"/>
    <mergeCell ref="A30:N30"/>
    <mergeCell ref="A31:N31"/>
    <mergeCell ref="A32:Q32"/>
    <mergeCell ref="A35:N35"/>
    <mergeCell ref="A36:N36"/>
    <mergeCell ref="A37:Q37"/>
    <mergeCell ref="A40:N40"/>
    <mergeCell ref="A16:A17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90" fitToHeight="30000" orientation="landscape" r:id="rId1"/>
  <headerFooter alignWithMargins="0"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16</xdr:row>
                    <xdr:rowOff>895350</xdr:rowOff>
                  </from>
                  <to>
                    <xdr:col>1</xdr:col>
                    <xdr:colOff>1152525</xdr:colOff>
                    <xdr:row>16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Линькова Наталья Григорьевна</dc:creator>
  <dc:description>17.05.2010</dc:description>
  <cp:lastModifiedBy>Игнатьева Маргарита Олеговна</cp:lastModifiedBy>
  <cp:lastPrinted>2017-02-20T00:42:15Z</cp:lastPrinted>
  <dcterms:created xsi:type="dcterms:W3CDTF">2007-02-21T08:42:24Z</dcterms:created>
  <dcterms:modified xsi:type="dcterms:W3CDTF">2017-02-20T00:42:18Z</dcterms:modified>
</cp:coreProperties>
</file>