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pdc\Общий доступ\Реализация капитального ремонта\2017\Сметы на аукцион\2017-03\"/>
    </mc:Choice>
  </mc:AlternateContent>
  <bookViews>
    <workbookView xWindow="-15" yWindow="5940" windowWidth="15480" windowHeight="5775"/>
  </bookViews>
  <sheets>
    <sheet name="Мои данные" sheetId="1" r:id="rId1"/>
    <sheet name="Вспомогательный" sheetId="2" state="hidden" r:id="rId2"/>
  </sheets>
  <definedNames>
    <definedName name="_xlnm.Print_Titles" localSheetId="0">'Мои данные'!$22:$22</definedName>
    <definedName name="_xlnm.Print_Area" localSheetId="0">'Мои данные'!$A$1:$P$88</definedName>
  </definedNames>
  <calcPr calcId="152511"/>
</workbook>
</file>

<file path=xl/calcChain.xml><?xml version="1.0" encoding="utf-8"?>
<calcChain xmlns="http://schemas.openxmlformats.org/spreadsheetml/2006/main">
  <c r="E63" i="1" l="1"/>
  <c r="E64" i="1"/>
  <c r="E52" i="1"/>
  <c r="E53" i="1"/>
  <c r="E42" i="1"/>
  <c r="E43" i="1"/>
  <c r="E33" i="1"/>
  <c r="E24" i="1"/>
  <c r="A12" i="2"/>
  <c r="O76" i="1"/>
  <c r="O68" i="1"/>
  <c r="N61" i="1"/>
  <c r="O44" i="1"/>
  <c r="N34" i="1"/>
  <c r="N31" i="1"/>
  <c r="N73" i="1"/>
  <c r="O78" i="1"/>
  <c r="O70" i="1"/>
  <c r="N55" i="1"/>
  <c r="N46" i="1"/>
  <c r="F42" i="1"/>
  <c r="O39" i="1"/>
  <c r="O28" i="1"/>
  <c r="O73" i="1"/>
  <c r="N71" i="1"/>
  <c r="F63" i="1"/>
  <c r="O57" i="1"/>
  <c r="N49" i="1"/>
  <c r="O38" i="1"/>
  <c r="O27" i="1"/>
  <c r="O75" i="1"/>
  <c r="O65" i="1"/>
  <c r="O59" i="1"/>
  <c r="O50" i="1"/>
  <c r="N40" i="1"/>
  <c r="N29" i="1"/>
  <c r="N67" i="1"/>
  <c r="P63" i="1"/>
  <c r="O61" i="1"/>
  <c r="N45" i="1"/>
  <c r="O34" i="1"/>
  <c r="N81" i="1"/>
  <c r="N69" i="1"/>
  <c r="O55" i="1"/>
  <c r="N36" i="1"/>
  <c r="F24" i="1"/>
  <c r="O71" i="1"/>
  <c r="P52" i="1"/>
  <c r="N39" i="1"/>
  <c r="N74" i="1"/>
  <c r="N58" i="1"/>
  <c r="O45" i="1"/>
  <c r="O29" i="1"/>
  <c r="O52" i="1"/>
  <c r="N30" i="1"/>
  <c r="N79" i="1"/>
  <c r="O77" i="1"/>
  <c r="O67" i="1"/>
  <c r="N60" i="1"/>
  <c r="F52" i="1"/>
  <c r="O47" i="1"/>
  <c r="N35" i="1"/>
  <c r="O26" i="1"/>
  <c r="O79" i="1"/>
  <c r="O69" i="1"/>
  <c r="N54" i="1"/>
  <c r="F53" i="1"/>
  <c r="N47" i="1"/>
  <c r="O36" i="1"/>
  <c r="O25" i="1"/>
  <c r="O63" i="1"/>
  <c r="N80" i="1"/>
  <c r="N72" i="1"/>
  <c r="O56" i="1"/>
  <c r="N48" i="1"/>
  <c r="P33" i="1"/>
  <c r="O33" i="1" s="1"/>
  <c r="O30" i="1"/>
  <c r="O74" i="1"/>
  <c r="O66" i="1"/>
  <c r="O58" i="1"/>
  <c r="N52" i="1"/>
  <c r="N33" i="1"/>
  <c r="N76" i="1"/>
  <c r="N68" i="1"/>
  <c r="O60" i="1"/>
  <c r="N44" i="1"/>
  <c r="P42" i="1"/>
  <c r="N42" i="1" s="1"/>
  <c r="O37" i="1"/>
  <c r="N63" i="1"/>
  <c r="N78" i="1"/>
  <c r="N70" i="1"/>
  <c r="O54" i="1"/>
  <c r="D53" i="1"/>
  <c r="O49" i="1"/>
  <c r="N37" i="1"/>
  <c r="N26" i="1"/>
  <c r="N75" i="1"/>
  <c r="O80" i="1"/>
  <c r="O72" i="1"/>
  <c r="N57" i="1"/>
  <c r="O48" i="1"/>
  <c r="N38" i="1"/>
  <c r="N27" i="1"/>
  <c r="N77" i="1"/>
  <c r="N65" i="1"/>
  <c r="F64" i="1"/>
  <c r="D64" i="1" s="1"/>
  <c r="N59" i="1"/>
  <c r="N50" i="1"/>
  <c r="P43" i="1"/>
  <c r="F33" i="1"/>
  <c r="D33" i="1" s="1"/>
  <c r="P24" i="1"/>
  <c r="O42" i="1"/>
  <c r="D42" i="1"/>
  <c r="D52" i="1"/>
  <c r="O31" i="1"/>
  <c r="P64" i="1"/>
  <c r="N64" i="1" s="1"/>
  <c r="O46" i="1"/>
  <c r="N25" i="1"/>
  <c r="O81" i="1"/>
  <c r="N56" i="1"/>
  <c r="F43" i="1"/>
  <c r="D43" i="1" s="1"/>
  <c r="N28" i="1"/>
  <c r="N66" i="1"/>
  <c r="P53" i="1"/>
  <c r="O40" i="1"/>
  <c r="O64" i="1"/>
  <c r="D24" i="1"/>
  <c r="O35" i="1"/>
  <c r="D63" i="1"/>
  <c r="N43" i="1"/>
  <c r="O24" i="1"/>
  <c r="N24" i="1"/>
  <c r="O53" i="1"/>
  <c r="N53" i="1"/>
  <c r="O43" i="1"/>
</calcChain>
</file>

<file path=xl/comments1.xml><?xml version="1.0" encoding="utf-8"?>
<comments xmlns="http://schemas.openxmlformats.org/spreadsheetml/2006/main">
  <authors>
    <author>Сергей</author>
    <author>Alex Sosedko</author>
    <author>Alex</author>
    <author>YuKazaeva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22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=IF(&lt;Пустой идентификатор&gt;&lt;Количество всего (физ. объем) по позиции&gt; = "","0",&lt;Количество всего (физ. объем) по позиции&gt;)</t>
        </r>
      </text>
    </comment>
    <comment ref="F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22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2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раздела&gt;</t>
        </r>
      </text>
    </comment>
    <comment ref="M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N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ROW())*0.4, " ")&lt;Пустой идентификатор&gt; </t>
        </r>
      </text>
    </comment>
    <comment ref="O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ROW())*0.6, " ")&lt;Пустой идентификатор&gt; </t>
        </r>
      </text>
    </comment>
    <comment ref="P2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ценах&gt;, &lt;ИТОГО ПЗ по позиции для БИМ&gt;) 
</t>
        </r>
      </text>
    </comment>
    <comment ref="A7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N7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0.4, " ")&lt;Пустой идентификатор&gt;</t>
        </r>
      </text>
    </comment>
    <comment ref="O7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0.6, " ")&lt;Пустой идентификатор&gt;</t>
        </r>
      </text>
    </comment>
    <comment ref="P7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(итоги)&gt;</t>
        </r>
      </text>
    </comment>
    <comment ref="A85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360 значение&gt;</t>
        </r>
      </text>
    </comment>
    <comment ref="A88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</commentList>
</comments>
</file>

<file path=xl/sharedStrings.xml><?xml version="1.0" encoding="utf-8"?>
<sst xmlns="http://schemas.openxmlformats.org/spreadsheetml/2006/main" count="130" uniqueCount="79">
  <si>
    <t>№ пп</t>
  </si>
  <si>
    <t>на проектные (изыскательские)  работы</t>
  </si>
  <si>
    <t xml:space="preserve">СМЕТА № 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</si>
  <si>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</si>
  <si>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</si>
  <si>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Форма 2п</t>
  </si>
  <si>
    <t>Расчет стоимости: (a+bx)*Kj или
(стоимость
строительно-монтажных
работ)*проц./ 100 или количество * цена, руб.</t>
  </si>
  <si>
    <t>Стоимость работ, руб.</t>
  </si>
  <si>
    <t>Раздел 1. Обмерные работы</t>
  </si>
  <si>
    <t>Обмерные работы для многоэтажных зданий I категории сложности, категория сложности работ 2, высота здания до 13 м</t>
  </si>
  <si>
    <t>СБЦ99-2-1-2-8
"Обмерные работы и обследования зданий (1998г.)"</t>
  </si>
  <si>
    <t>0,75*1,1*0,1177</t>
  </si>
  <si>
    <t>8177 / 100</t>
  </si>
  <si>
    <t>цены 2001</t>
  </si>
  <si>
    <t>(2.11 При выполнении работ с использованием и сверкой имеющихся чертежей и выдачей скорректированных чертежей заказчику ПЗ=0,75;
11 Сейсмичность 7 баллов ПЗ=1,1;
10,59%-крыши, 1,18%-планы кровли со вскрытиями (табл.8 п. 12, п. 13) ПЗ=0,1177)</t>
  </si>
  <si>
    <t>100 м3 строительного объема здания</t>
  </si>
  <si>
    <t>Итого прямые затраты по разделу в ценах 2001г.</t>
  </si>
  <si>
    <t>Итоги по разделу 1 Обмерные работы :</t>
  </si>
  <si>
    <t xml:space="preserve">  Проектные работы: Обмерные работы и обследования зданий (1998)</t>
  </si>
  <si>
    <t xml:space="preserve">  Итого</t>
  </si>
  <si>
    <t xml:space="preserve">  Всего с учетом "Обмерные и инженерное обследование (приложение 3 к письму Минстроя Росси от 03.06.2016 №17269-ХМ/09) СМР=30,17"</t>
  </si>
  <si>
    <t xml:space="preserve">    Справочно, в ценах 2001г.:</t>
  </si>
  <si>
    <t xml:space="preserve">  Итого по разделу 1 Обмерные работы</t>
  </si>
  <si>
    <t>Раздел 2. Инженерные обследования</t>
  </si>
  <si>
    <t>Инженерные обследования строительных конструкций многоэтажных зданий I категории сложности, категория сложности работ 2, высота здания до 13 м</t>
  </si>
  <si>
    <t>СБЦ99-4-1-2-8
"Обмерные работы и обследования зданий (1998г.)"</t>
  </si>
  <si>
    <t>1,1*0,034</t>
  </si>
  <si>
    <t>(11 Сейсмичность 7 баллов ПЗ=1,1;
3,4%-кровля (таблица 9) ПЗ=0,034 (ОЗП=0,034; ЭМ=0,034 к расх.; ЗПМ=0,034; МАТ=0,034 к расх.; ТЗ=0,034; ТЗМ=0,034))</t>
  </si>
  <si>
    <t>Итоги по разделу 2 Инженерные обследования :</t>
  </si>
  <si>
    <t xml:space="preserve">  Итого по разделу 2 Инженерные обследования</t>
  </si>
  <si>
    <t>Раздел 3. Проектные работы</t>
  </si>
  <si>
    <t>Жилые дома: четырехэтажные</t>
  </si>
  <si>
    <t>СБЦП05-1-1-4-А
/Таблица: СБЦП05-1-1-4 параметр: А/ "Кап. ремонт зданий и сооружений жилищно-гражд. назн. (2012 г.)"</t>
  </si>
  <si>
    <t>0,072*0,5</t>
  </si>
  <si>
    <t>(Таб.12 п.6, п.7 1)Ремонт,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      2). Ремонт (замена) кровли и ограждающих конструкций-2,1%) ПЗ=0,072;
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ПЗ=0,5)</t>
  </si>
  <si>
    <t>объект</t>
  </si>
  <si>
    <t>СБЦП05-1-1-4-Б
/Таблица: СБЦП05-1-1-4 параметр: Б/ "Кап. ремонт зданий и сооружений жилищно-гражд. назн. (2012 г.)"</t>
  </si>
  <si>
    <t>м3</t>
  </si>
  <si>
    <t>Итоги по разделу 3 Проектные работы :</t>
  </si>
  <si>
    <t xml:space="preserve">  Проектные работы: Капитальный ремонт зданий и сооружений ж/г назначения (2012)</t>
  </si>
  <si>
    <t xml:space="preserve">  Всего с учетом "Проектные работы (приложение 3 к письму Минстроя Росси от 03.06.2016 №17269-ХМ/09) СМР=3,92"</t>
  </si>
  <si>
    <t xml:space="preserve">  Итого по разделу 3 Проектные работы</t>
  </si>
  <si>
    <t>Раздел 4. ПОС</t>
  </si>
  <si>
    <t>0,072*0,04*0,5</t>
  </si>
  <si>
    <t>(Таб.12 п.6 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ПЗ=0,072;
Таб.12 п.18 Проект организации строительства (ПОС): здания каркасные многоэтажные - 4,0% ПЗ=0,04;
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ПЗ=0,5)</t>
  </si>
  <si>
    <t>Итоги по разделу 4 ПОС :</t>
  </si>
  <si>
    <t xml:space="preserve">      Машины и механизмы</t>
  </si>
  <si>
    <t xml:space="preserve">  Итого по разделу 4 ПОС</t>
  </si>
  <si>
    <t>Раздел 5. Сметная документация</t>
  </si>
  <si>
    <t>0,072*0,05*0,5</t>
  </si>
  <si>
    <t>(Таб.12 п.6 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ПЗ=0,072;
Таб.12 п.19 Сметная документация: здания бескаркасные многоэтажные - 5,0% ПЗ=0,05;
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ПЗ=0,5)</t>
  </si>
  <si>
    <t>(Таб.12 п.6 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ПЗ=0,072;
Таб.12 п.19 Сметная документация: здания каркасные многоэтажные - 5,0% ПЗ=0,05;
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ПЗ=0,5)</t>
  </si>
  <si>
    <t>Итоги по разделу 5 Сметная документация :</t>
  </si>
  <si>
    <t xml:space="preserve">  Итого по разделу 5 Сметная документация</t>
  </si>
  <si>
    <t>Итого прямые затраты по смете в ценах 2001г.</t>
  </si>
  <si>
    <t>Итоги по смете:</t>
  </si>
  <si>
    <t xml:space="preserve">  Итого Поз. 1-2 "Обмерные и инженерное обследование (приложение 3 к письму Минстроя Росси от 03.06.2016 №17269-ХМ/09) СМР=30,17"</t>
  </si>
  <si>
    <t xml:space="preserve">  Итого Поз. 3-4, 9-12 "Проектные работы (приложение 3 к письму Минстроя Росси от 03.06.2016 №17269-ХМ/09) СМР=3,92"</t>
  </si>
  <si>
    <t xml:space="preserve">  НДС 18%</t>
  </si>
  <si>
    <t xml:space="preserve">  ВСЕГО по смете</t>
  </si>
  <si>
    <t>Обоснование</t>
  </si>
  <si>
    <t>Единица измерения</t>
  </si>
  <si>
    <t>5</t>
  </si>
  <si>
    <t>6</t>
  </si>
  <si>
    <t>7</t>
  </si>
  <si>
    <t>8</t>
  </si>
  <si>
    <r>
      <t xml:space="preserve">Составил: </t>
    </r>
    <r>
      <rPr>
        <u/>
        <sz val="9"/>
        <rFont val="Times New Roman"/>
        <family val="1"/>
        <charset val="204"/>
      </rPr>
      <t>главный специалист СО НО "Хабаровский краевой фонд капитального ремонта"</t>
    </r>
    <r>
      <rPr>
        <sz val="9"/>
        <rFont val="Times New Roman"/>
        <family val="1"/>
        <charset val="204"/>
      </rPr>
      <t xml:space="preserve"> ________/Н.А.Чередеева</t>
    </r>
  </si>
  <si>
    <t>(должность, подпись, расшифровка)</t>
  </si>
  <si>
    <r>
      <t>Проверил : _</t>
    </r>
    <r>
      <rPr>
        <u/>
        <sz val="9"/>
        <rFont val="Times New Roman"/>
        <family val="1"/>
        <charset val="204"/>
      </rPr>
      <t>начальник СО НО "Хабаровский краевой фонд капитального ремонта"</t>
    </r>
    <r>
      <rPr>
        <sz val="9"/>
        <rFont val="Times New Roman"/>
        <family val="1"/>
        <charset val="204"/>
      </rPr>
      <t xml:space="preserve"> _____________/Е.С. Сорокина</t>
    </r>
  </si>
  <si>
    <t>Год постройки                    1964</t>
  </si>
  <si>
    <t>Объем здания, м3               8177</t>
  </si>
  <si>
    <t>Здание жилое                     4 этажа    3 подъезда</t>
  </si>
  <si>
    <t xml:space="preserve">                                                  УТВЕРЖДАЮ:</t>
  </si>
  <si>
    <t xml:space="preserve">                                                  Директор НО "Хабаровский краевой фонд капитального ремонта"</t>
  </si>
  <si>
    <t xml:space="preserve">                                                   _____________________А. В. Сидорова</t>
  </si>
  <si>
    <t xml:space="preserve">                                                   "___"______________2016 год</t>
  </si>
  <si>
    <t>Наименование  объекта     4-  этажный жилой дом по адресу: Хабаровский край, п. Солнечный, ул. Геологов, д. 4</t>
  </si>
  <si>
    <t>Вид проектных или изыскательских работ:   На разработку проектной  документации на капитальный ремонт крыши по адресу: Хабаровский край, п. Солнечный, ул. Геологов, д. 4</t>
  </si>
  <si>
    <t>Наименование организации заказчика: НО "Хабаровский краевой фонд капитального ремонта"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</si>
</sst>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u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Arial Cyr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</cellStyleXfs>
  <cellXfs count="76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0" xfId="21" applyFont="1" applyBorder="1">
      <alignment horizontal="center"/>
    </xf>
    <xf numFmtId="0" fontId="7" fillId="0" borderId="0" xfId="21" applyFont="1" applyBorder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9" fillId="0" borderId="0" xfId="0" applyFont="1" applyAlignment="1">
      <alignment horizontal="right"/>
    </xf>
    <xf numFmtId="0" fontId="6" fillId="0" borderId="0" xfId="0" applyFont="1" applyAlignment="1">
      <alignment wrapText="1"/>
    </xf>
    <xf numFmtId="0" fontId="7" fillId="0" borderId="3" xfId="12" applyFont="1" applyBorder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10" fontId="7" fillId="0" borderId="1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right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top" wrapText="1"/>
    </xf>
    <xf numFmtId="10" fontId="7" fillId="0" borderId="3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right" vertical="top" wrapText="1"/>
    </xf>
    <xf numFmtId="2" fontId="8" fillId="0" borderId="3" xfId="0" applyNumberFormat="1" applyFont="1" applyBorder="1" applyAlignment="1">
      <alignment horizontal="right" vertical="top" wrapText="1"/>
    </xf>
    <xf numFmtId="2" fontId="7" fillId="0" borderId="1" xfId="5" applyNumberFormat="1" applyFont="1" applyBorder="1" applyAlignment="1">
      <alignment horizontal="right" vertical="top" wrapText="1"/>
    </xf>
    <xf numFmtId="2" fontId="8" fillId="0" borderId="1" xfId="5" applyNumberFormat="1" applyFont="1" applyBorder="1" applyAlignment="1">
      <alignment horizontal="right" vertical="top" wrapText="1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5" fillId="0" borderId="0" xfId="21" applyFont="1" applyBorder="1" applyAlignment="1">
      <alignment horizontal="left" vertical="top" wrapText="1"/>
    </xf>
    <xf numFmtId="0" fontId="9" fillId="0" borderId="0" xfId="0" applyFont="1"/>
    <xf numFmtId="0" fontId="6" fillId="0" borderId="0" xfId="0" applyFont="1" applyAlignment="1"/>
    <xf numFmtId="0" fontId="5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14" fillId="0" borderId="0" xfId="0" applyFont="1" applyAlignment="1">
      <alignment horizontal="left" vertical="top" wrapText="1"/>
    </xf>
    <xf numFmtId="49" fontId="14" fillId="0" borderId="0" xfId="0" applyNumberFormat="1" applyFont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5" fillId="0" borderId="0" xfId="0" applyFont="1" applyAlignment="1"/>
    <xf numFmtId="0" fontId="1" fillId="0" borderId="0" xfId="0" applyFont="1"/>
    <xf numFmtId="0" fontId="14" fillId="0" borderId="0" xfId="0" applyFont="1"/>
    <xf numFmtId="0" fontId="14" fillId="0" borderId="0" xfId="0" applyFont="1" applyAlignment="1">
      <alignment horizontal="right"/>
    </xf>
    <xf numFmtId="0" fontId="1" fillId="0" borderId="0" xfId="0" applyFont="1" applyAlignment="1">
      <alignment wrapText="1"/>
    </xf>
    <xf numFmtId="0" fontId="19" fillId="0" borderId="0" xfId="0" applyFont="1" applyAlignment="1">
      <alignment horizontal="left" vertical="top"/>
    </xf>
    <xf numFmtId="0" fontId="14" fillId="0" borderId="0" xfId="0" applyFont="1" applyAlignment="1">
      <alignment vertical="top"/>
    </xf>
    <xf numFmtId="0" fontId="13" fillId="0" borderId="0" xfId="21" applyFo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21" applyFont="1" applyBorder="1" applyAlignment="1">
      <alignment horizontal="left" wrapText="1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7" fillId="0" borderId="1" xfId="5" applyFont="1" applyBorder="1" applyAlignment="1">
      <alignment horizontal="left" vertical="top" wrapText="1"/>
    </xf>
    <xf numFmtId="0" fontId="8" fillId="0" borderId="1" xfId="5" applyFont="1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1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</cellXfs>
  <cellStyles count="24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AA89"/>
  <sheetViews>
    <sheetView showGridLines="0" tabSelected="1" topLeftCell="A76" zoomScale="120" zoomScaleNormal="120" workbookViewId="0">
      <selection activeCell="A19" sqref="A19"/>
    </sheetView>
  </sheetViews>
  <sheetFormatPr defaultRowHeight="12.75" x14ac:dyDescent="0.2"/>
  <cols>
    <col min="1" max="1" width="5.7109375" style="1" customWidth="1"/>
    <col min="2" max="3" width="29.42578125" style="1" customWidth="1"/>
    <col min="4" max="4" width="21.42578125" style="1" customWidth="1"/>
    <col min="5" max="10" width="22.140625" style="1" hidden="1" customWidth="1"/>
    <col min="11" max="11" width="73.7109375" style="1" customWidth="1"/>
    <col min="12" max="12" width="15" style="1" hidden="1" customWidth="1"/>
    <col min="13" max="13" width="15" style="1" customWidth="1"/>
    <col min="14" max="15" width="10.85546875" style="1" hidden="1" customWidth="1"/>
    <col min="16" max="16" width="13.140625" style="1" customWidth="1"/>
    <col min="17" max="18" width="9.140625" style="1" customWidth="1"/>
    <col min="19" max="26" width="9.140625" style="1"/>
    <col min="27" max="27" width="79.28515625" style="10" customWidth="1"/>
    <col min="28" max="16384" width="9.140625" style="1"/>
  </cols>
  <sheetData>
    <row r="1" spans="1:27" x14ac:dyDescent="0.2">
      <c r="A1" s="53"/>
      <c r="B1" s="53"/>
      <c r="C1" s="53"/>
      <c r="D1" s="53"/>
      <c r="P1" s="9" t="s">
        <v>5</v>
      </c>
    </row>
    <row r="2" spans="1:27" s="44" customFormat="1" ht="12.75" customHeight="1" x14ac:dyDescent="0.2">
      <c r="A2" s="27"/>
      <c r="B2" s="26"/>
      <c r="C2" s="26"/>
      <c r="E2" s="29"/>
      <c r="F2" s="45"/>
      <c r="G2" s="46" t="s">
        <v>5</v>
      </c>
      <c r="H2" s="45"/>
      <c r="I2" s="45"/>
      <c r="J2" s="29"/>
      <c r="S2" s="47"/>
    </row>
    <row r="3" spans="1:27" s="44" customFormat="1" x14ac:dyDescent="0.2">
      <c r="A3" s="27"/>
      <c r="B3" s="26"/>
      <c r="C3" s="26"/>
      <c r="D3" s="48" t="s">
        <v>72</v>
      </c>
      <c r="E3" s="48"/>
      <c r="F3" s="48"/>
      <c r="G3" s="48"/>
      <c r="H3" s="48"/>
      <c r="I3" s="48"/>
      <c r="J3" s="29"/>
      <c r="S3" s="47"/>
    </row>
    <row r="4" spans="1:27" s="44" customFormat="1" x14ac:dyDescent="0.2">
      <c r="A4" s="27"/>
      <c r="B4" s="26"/>
      <c r="C4" s="26"/>
      <c r="D4" s="49" t="s">
        <v>73</v>
      </c>
      <c r="E4" s="49"/>
      <c r="F4" s="49"/>
      <c r="G4" s="49"/>
      <c r="H4" s="49"/>
      <c r="I4" s="49"/>
      <c r="S4" s="47"/>
    </row>
    <row r="5" spans="1:27" s="44" customFormat="1" x14ac:dyDescent="0.2">
      <c r="A5" s="27"/>
      <c r="B5" s="26"/>
      <c r="C5" s="26"/>
      <c r="D5" s="49" t="s">
        <v>74</v>
      </c>
      <c r="E5" s="49"/>
      <c r="F5" s="49"/>
      <c r="G5" s="49"/>
      <c r="H5" s="49"/>
      <c r="I5" s="49"/>
      <c r="S5" s="47"/>
    </row>
    <row r="6" spans="1:27" s="44" customFormat="1" x14ac:dyDescent="0.2">
      <c r="A6" s="27"/>
      <c r="B6" s="26"/>
      <c r="C6" s="26"/>
      <c r="D6" s="29" t="s">
        <v>75</v>
      </c>
      <c r="E6" s="29"/>
      <c r="F6" s="29"/>
      <c r="G6" s="29"/>
      <c r="H6" s="29"/>
      <c r="I6" s="29"/>
      <c r="S6" s="47"/>
    </row>
    <row r="7" spans="1:27" s="44" customFormat="1" x14ac:dyDescent="0.2">
      <c r="A7" s="27"/>
      <c r="B7" s="26"/>
      <c r="C7" s="26"/>
      <c r="D7" s="27"/>
      <c r="S7" s="47"/>
    </row>
    <row r="8" spans="1:27" x14ac:dyDescent="0.2">
      <c r="A8" s="28"/>
      <c r="B8" s="28"/>
      <c r="C8" s="28"/>
      <c r="D8" s="28"/>
      <c r="E8" s="26"/>
      <c r="F8" s="26"/>
      <c r="G8" s="26"/>
      <c r="H8" s="26"/>
      <c r="K8" s="26"/>
      <c r="L8" s="26"/>
      <c r="M8" s="26"/>
      <c r="S8" s="10"/>
      <c r="AA8" s="1"/>
    </row>
    <row r="9" spans="1:27" x14ac:dyDescent="0.2">
      <c r="A9" s="28"/>
      <c r="B9" s="28"/>
      <c r="C9" s="28"/>
      <c r="D9" s="28"/>
      <c r="E9" s="29"/>
      <c r="F9" s="29"/>
      <c r="G9" s="29"/>
      <c r="H9" s="29"/>
      <c r="I9" s="29"/>
      <c r="J9" s="29"/>
      <c r="S9" s="10"/>
      <c r="AA9" s="1"/>
    </row>
    <row r="10" spans="1:27" x14ac:dyDescent="0.2">
      <c r="A10" s="50" t="s">
        <v>2</v>
      </c>
      <c r="B10" s="50"/>
      <c r="C10" s="50"/>
      <c r="D10" s="50"/>
      <c r="E10" s="50"/>
      <c r="F10" s="50"/>
      <c r="G10" s="26"/>
      <c r="H10" s="26"/>
      <c r="S10" s="10"/>
      <c r="AA10" s="1"/>
    </row>
    <row r="11" spans="1:27" x14ac:dyDescent="0.2">
      <c r="A11" s="71" t="s">
        <v>1</v>
      </c>
      <c r="B11" s="71"/>
      <c r="C11" s="71"/>
      <c r="D11" s="71"/>
      <c r="E11" s="71"/>
      <c r="F11" s="71"/>
      <c r="G11" s="26"/>
      <c r="H11" s="26"/>
      <c r="S11" s="10"/>
      <c r="AA11" s="1"/>
    </row>
    <row r="12" spans="1:27" x14ac:dyDescent="0.2">
      <c r="A12" s="26"/>
      <c r="B12" s="26"/>
      <c r="C12" s="26"/>
      <c r="D12" s="26"/>
      <c r="E12" s="26"/>
      <c r="F12" s="26"/>
      <c r="G12" s="26"/>
      <c r="H12" s="26"/>
      <c r="S12" s="10"/>
      <c r="AA12" s="1"/>
    </row>
    <row r="13" spans="1:27" s="30" customFormat="1" x14ac:dyDescent="0.2">
      <c r="A13" s="27" t="s">
        <v>76</v>
      </c>
      <c r="B13" s="27"/>
      <c r="C13" s="27"/>
      <c r="D13" s="27"/>
      <c r="E13" s="27"/>
      <c r="F13" s="27"/>
      <c r="G13" s="27"/>
      <c r="H13" s="27"/>
    </row>
    <row r="14" spans="1:27" x14ac:dyDescent="0.2">
      <c r="A14" s="72" t="s">
        <v>69</v>
      </c>
      <c r="B14" s="72"/>
      <c r="C14" s="31"/>
      <c r="D14" s="32"/>
      <c r="E14" s="26"/>
      <c r="F14" s="26"/>
      <c r="G14" s="26"/>
      <c r="H14" s="26"/>
      <c r="S14" s="10"/>
      <c r="AA14" s="1"/>
    </row>
    <row r="15" spans="1:27" x14ac:dyDescent="0.2">
      <c r="A15" s="73" t="s">
        <v>70</v>
      </c>
      <c r="B15" s="73"/>
      <c r="C15" s="31"/>
      <c r="D15" s="32"/>
      <c r="E15" s="26"/>
      <c r="F15" s="26"/>
      <c r="G15" s="26"/>
      <c r="H15" s="26"/>
      <c r="S15" s="10"/>
      <c r="AA15" s="1"/>
    </row>
    <row r="16" spans="1:27" x14ac:dyDescent="0.2">
      <c r="A16" s="33" t="s">
        <v>71</v>
      </c>
      <c r="B16" s="33"/>
      <c r="C16" s="31"/>
      <c r="D16" s="33"/>
      <c r="E16" s="26"/>
      <c r="F16" s="26"/>
      <c r="G16" s="26"/>
      <c r="H16" s="26"/>
      <c r="S16" s="10"/>
      <c r="AA16" s="1"/>
    </row>
    <row r="17" spans="1:27" s="30" customFormat="1" ht="17.25" customHeight="1" x14ac:dyDescent="0.2">
      <c r="A17" s="27" t="s">
        <v>77</v>
      </c>
      <c r="B17" s="27"/>
      <c r="C17" s="27"/>
      <c r="D17" s="27"/>
      <c r="E17" s="27"/>
      <c r="F17" s="27"/>
      <c r="G17" s="27"/>
      <c r="H17" s="33"/>
    </row>
    <row r="18" spans="1:27" s="30" customFormat="1" ht="17.25" customHeight="1" x14ac:dyDescent="0.2">
      <c r="A18" s="27" t="s">
        <v>78</v>
      </c>
      <c r="B18" s="27"/>
      <c r="C18" s="27"/>
      <c r="D18" s="27"/>
      <c r="E18" s="27"/>
      <c r="F18" s="27"/>
      <c r="G18" s="27"/>
      <c r="H18" s="43"/>
    </row>
    <row r="19" spans="1:27" x14ac:dyDescent="0.2">
      <c r="A19" s="2"/>
      <c r="B19" s="2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4"/>
    </row>
    <row r="20" spans="1:27" s="6" customFormat="1" ht="16.5" customHeight="1" x14ac:dyDescent="0.2">
      <c r="A20" s="51" t="s">
        <v>0</v>
      </c>
      <c r="B20" s="51" t="s">
        <v>3</v>
      </c>
      <c r="C20" s="51" t="s">
        <v>4</v>
      </c>
      <c r="D20" s="51" t="s">
        <v>6</v>
      </c>
      <c r="E20" s="5"/>
      <c r="F20" s="5"/>
      <c r="G20" s="5"/>
      <c r="H20" s="5"/>
      <c r="I20" s="5"/>
      <c r="J20" s="5"/>
      <c r="K20" s="51" t="s">
        <v>60</v>
      </c>
      <c r="L20" s="5"/>
      <c r="M20" s="51" t="s">
        <v>61</v>
      </c>
      <c r="N20" s="60" t="s">
        <v>7</v>
      </c>
      <c r="O20" s="61"/>
      <c r="P20" s="62"/>
    </row>
    <row r="21" spans="1:27" s="6" customFormat="1" ht="87.75" customHeight="1" x14ac:dyDescent="0.2">
      <c r="A21" s="52"/>
      <c r="B21" s="52"/>
      <c r="C21" s="52"/>
      <c r="D21" s="52"/>
      <c r="E21" s="5"/>
      <c r="F21" s="5"/>
      <c r="G21" s="5"/>
      <c r="H21" s="5"/>
      <c r="I21" s="5"/>
      <c r="J21" s="5"/>
      <c r="K21" s="52"/>
      <c r="L21" s="5"/>
      <c r="M21" s="52"/>
      <c r="N21" s="63"/>
      <c r="O21" s="64"/>
      <c r="P21" s="65"/>
    </row>
    <row r="22" spans="1:27" x14ac:dyDescent="0.2">
      <c r="A22" s="11">
        <v>1</v>
      </c>
      <c r="B22" s="11">
        <v>2</v>
      </c>
      <c r="C22" s="11">
        <v>3</v>
      </c>
      <c r="D22" s="11">
        <v>4</v>
      </c>
      <c r="E22" s="11"/>
      <c r="F22" s="11"/>
      <c r="G22" s="11"/>
      <c r="H22" s="11"/>
      <c r="I22" s="11"/>
      <c r="J22" s="11"/>
      <c r="K22" s="11">
        <v>5</v>
      </c>
      <c r="L22" s="11"/>
      <c r="M22" s="11">
        <v>6</v>
      </c>
      <c r="N22" s="11">
        <v>5</v>
      </c>
      <c r="O22" s="11">
        <v>6</v>
      </c>
      <c r="P22" s="11">
        <v>7</v>
      </c>
    </row>
    <row r="23" spans="1:27" s="7" customFormat="1" ht="21" customHeight="1" x14ac:dyDescent="0.2">
      <c r="A23" s="54" t="s">
        <v>8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</row>
    <row r="24" spans="1:27" s="8" customFormat="1" ht="63.75" x14ac:dyDescent="0.2">
      <c r="A24" s="17">
        <v>1</v>
      </c>
      <c r="B24" s="18" t="s">
        <v>9</v>
      </c>
      <c r="C24" s="18" t="s">
        <v>10</v>
      </c>
      <c r="D24" s="19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(8177 / 100) * 23.69 * 0,75*1,1*0,1177</v>
      </c>
      <c r="E24" s="20">
        <f>IF( 81.77 = "","0",81.77)</f>
        <v>81.77</v>
      </c>
      <c r="F24" s="20" t="str">
        <f ca="1">IF(INDIRECT("J" &amp; ROW())="текущие цены", IF(INDIRECT("G" &amp; ROW())="", "0", "0"), IF(INDIRECT("G" &amp; ROW())="", "2.3","23.69"))</f>
        <v>23.69</v>
      </c>
      <c r="G24" s="20" t="s">
        <v>11</v>
      </c>
      <c r="H24" s="20" t="s">
        <v>12</v>
      </c>
      <c r="I24" s="20"/>
      <c r="J24" s="20" t="s">
        <v>13</v>
      </c>
      <c r="K24" s="20" t="s">
        <v>14</v>
      </c>
      <c r="L24" s="20">
        <v>1</v>
      </c>
      <c r="M24" s="20" t="s">
        <v>15</v>
      </c>
      <c r="N24" s="21">
        <f ca="1">IF(ISNUMBER(INDIRECT("P" &amp; ROW())), INDIRECT("P" &amp; ROW())*0.4, " ")</f>
        <v>75.2</v>
      </c>
      <c r="O24" s="21">
        <f ca="1">IF(ISNUMBER(INDIRECT("P" &amp; ROW())), INDIRECT("P" &amp; ROW())*0.6, " ")</f>
        <v>112.8</v>
      </c>
      <c r="P24" s="21">
        <f ca="1">IF(INDIRECT("J" &amp; ROW())="текущие цены", 0, 188)</f>
        <v>188</v>
      </c>
      <c r="Q24" s="7"/>
      <c r="R24" s="7"/>
      <c r="S24" s="7"/>
      <c r="T24" s="7"/>
      <c r="U24" s="7"/>
      <c r="AA24" s="7"/>
    </row>
    <row r="25" spans="1:27" x14ac:dyDescent="0.2">
      <c r="A25" s="56" t="s">
        <v>16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16">
        <f t="shared" ref="N25:N31" ca="1" si="0">IF(ISNUMBER(INDIRECT("P" &amp; ROW())), INDIRECT("P" &amp; ROW()) * 0.4, " ")</f>
        <v>75.2</v>
      </c>
      <c r="O25" s="16">
        <f t="shared" ref="O25:O31" ca="1" si="1">IF(ISNUMBER(INDIRECT("P" &amp; ROW())), INDIRECT("P" &amp; ROW()) * 0.6, " ")</f>
        <v>112.8</v>
      </c>
      <c r="P25" s="16">
        <v>188</v>
      </c>
      <c r="Q25" s="7"/>
      <c r="R25" s="7"/>
      <c r="S25" s="7"/>
      <c r="T25" s="7"/>
      <c r="U25" s="7"/>
    </row>
    <row r="26" spans="1:27" x14ac:dyDescent="0.2">
      <c r="A26" s="58" t="s">
        <v>17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22" t="str">
        <f t="shared" ca="1" si="0"/>
        <v xml:space="preserve"> </v>
      </c>
      <c r="O26" s="22" t="str">
        <f t="shared" ca="1" si="1"/>
        <v xml:space="preserve"> </v>
      </c>
      <c r="P26" s="22"/>
      <c r="Q26" s="7"/>
      <c r="R26" s="7"/>
      <c r="S26" s="7"/>
      <c r="T26" s="7"/>
      <c r="U26" s="7"/>
    </row>
    <row r="27" spans="1:27" ht="27.95" customHeight="1" x14ac:dyDescent="0.2">
      <c r="A27" s="56" t="s">
        <v>18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16">
        <f t="shared" ca="1" si="0"/>
        <v>75.2</v>
      </c>
      <c r="O27" s="16">
        <f t="shared" ca="1" si="1"/>
        <v>112.8</v>
      </c>
      <c r="P27" s="16">
        <v>188</v>
      </c>
      <c r="Q27" s="7"/>
      <c r="R27" s="7"/>
      <c r="S27" s="7"/>
      <c r="T27" s="7"/>
      <c r="U27" s="7"/>
    </row>
    <row r="28" spans="1:27" x14ac:dyDescent="0.2">
      <c r="A28" s="56" t="s">
        <v>19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16">
        <f t="shared" ca="1" si="0"/>
        <v>75.2</v>
      </c>
      <c r="O28" s="16">
        <f t="shared" ca="1" si="1"/>
        <v>112.8</v>
      </c>
      <c r="P28" s="16">
        <v>188</v>
      </c>
      <c r="Q28" s="7"/>
      <c r="R28" s="7"/>
      <c r="S28" s="7"/>
      <c r="T28" s="7"/>
      <c r="U28" s="7"/>
    </row>
    <row r="29" spans="1:27" ht="27.95" customHeight="1" x14ac:dyDescent="0.2">
      <c r="A29" s="56" t="s">
        <v>20</v>
      </c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16">
        <f t="shared" ca="1" si="0"/>
        <v>2268.8000000000002</v>
      </c>
      <c r="O29" s="16">
        <f t="shared" ca="1" si="1"/>
        <v>3403.2</v>
      </c>
      <c r="P29" s="16">
        <v>5672</v>
      </c>
      <c r="Q29" s="7"/>
      <c r="R29" s="7"/>
      <c r="S29" s="7"/>
      <c r="T29" s="7"/>
      <c r="U29" s="7"/>
    </row>
    <row r="30" spans="1:27" x14ac:dyDescent="0.2">
      <c r="A30" s="56" t="s">
        <v>21</v>
      </c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16" t="str">
        <f t="shared" ca="1" si="0"/>
        <v xml:space="preserve"> </v>
      </c>
      <c r="O30" s="16" t="str">
        <f t="shared" ca="1" si="1"/>
        <v xml:space="preserve"> </v>
      </c>
      <c r="P30" s="16"/>
      <c r="Q30" s="7"/>
      <c r="R30" s="7"/>
      <c r="S30" s="7"/>
      <c r="T30" s="7"/>
      <c r="U30" s="7"/>
    </row>
    <row r="31" spans="1:27" x14ac:dyDescent="0.2">
      <c r="A31" s="66" t="s">
        <v>22</v>
      </c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23">
        <f t="shared" ca="1" si="0"/>
        <v>2268.8000000000002</v>
      </c>
      <c r="O31" s="23">
        <f t="shared" ca="1" si="1"/>
        <v>3403.2</v>
      </c>
      <c r="P31" s="23">
        <v>5672</v>
      </c>
      <c r="Q31" s="7"/>
      <c r="R31" s="7"/>
      <c r="S31" s="7"/>
      <c r="T31" s="7"/>
      <c r="U31" s="7"/>
    </row>
    <row r="32" spans="1:27" ht="21" customHeight="1" x14ac:dyDescent="0.2">
      <c r="A32" s="54" t="s">
        <v>23</v>
      </c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7"/>
      <c r="R32" s="7"/>
      <c r="S32" s="7"/>
      <c r="T32" s="7"/>
      <c r="U32" s="7"/>
    </row>
    <row r="33" spans="1:21" ht="76.5" x14ac:dyDescent="0.2">
      <c r="A33" s="17">
        <v>2</v>
      </c>
      <c r="B33" s="18" t="s">
        <v>24</v>
      </c>
      <c r="C33" s="18" t="s">
        <v>25</v>
      </c>
      <c r="D33" s="19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(8177 / 100) * 23.07 * 1,1*0,034</v>
      </c>
      <c r="E33" s="20">
        <f>IF( 81.77 = "","0",81.77)</f>
        <v>81.77</v>
      </c>
      <c r="F33" s="20" t="str">
        <f ca="1">IF(INDIRECT("J" &amp; ROW())="текущие цены", IF(INDIRECT("G" &amp; ROW())="", "0", "0"), IF(INDIRECT("G" &amp; ROW())="", "0.86","23.07"))</f>
        <v>23.07</v>
      </c>
      <c r="G33" s="20" t="s">
        <v>26</v>
      </c>
      <c r="H33" s="20" t="s">
        <v>12</v>
      </c>
      <c r="I33" s="20"/>
      <c r="J33" s="20" t="s">
        <v>13</v>
      </c>
      <c r="K33" s="20" t="s">
        <v>27</v>
      </c>
      <c r="L33" s="20">
        <v>2</v>
      </c>
      <c r="M33" s="20" t="s">
        <v>15</v>
      </c>
      <c r="N33" s="21">
        <f ca="1">IF(ISNUMBER(INDIRECT("P" &amp; ROW())), INDIRECT("P" &amp; ROW())*0.4, " ")</f>
        <v>28</v>
      </c>
      <c r="O33" s="21">
        <f ca="1">IF(ISNUMBER(INDIRECT("P" &amp; ROW())), INDIRECT("P" &amp; ROW())*0.6, " ")</f>
        <v>42</v>
      </c>
      <c r="P33" s="21">
        <f ca="1">IF(INDIRECT("J" &amp; ROW())="текущие цены", 0, 70)</f>
        <v>70</v>
      </c>
      <c r="Q33" s="7"/>
      <c r="R33" s="7"/>
      <c r="S33" s="7"/>
      <c r="T33" s="7"/>
      <c r="U33" s="7"/>
    </row>
    <row r="34" spans="1:21" x14ac:dyDescent="0.2">
      <c r="A34" s="56" t="s">
        <v>16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16">
        <f t="shared" ref="N34:N40" ca="1" si="2">IF(ISNUMBER(INDIRECT("P" &amp; ROW())), INDIRECT("P" &amp; ROW()) * 0.4, " ")</f>
        <v>28</v>
      </c>
      <c r="O34" s="16">
        <f t="shared" ref="O34:O40" ca="1" si="3">IF(ISNUMBER(INDIRECT("P" &amp; ROW())), INDIRECT("P" &amp; ROW()) * 0.6, " ")</f>
        <v>42</v>
      </c>
      <c r="P34" s="16">
        <v>70</v>
      </c>
      <c r="Q34" s="7"/>
      <c r="R34" s="7"/>
      <c r="S34" s="7"/>
      <c r="T34" s="7"/>
      <c r="U34" s="7"/>
    </row>
    <row r="35" spans="1:21" x14ac:dyDescent="0.2">
      <c r="A35" s="58" t="s">
        <v>28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22" t="str">
        <f t="shared" ca="1" si="2"/>
        <v xml:space="preserve"> </v>
      </c>
      <c r="O35" s="22" t="str">
        <f t="shared" ca="1" si="3"/>
        <v xml:space="preserve"> </v>
      </c>
      <c r="P35" s="22"/>
      <c r="Q35" s="7"/>
      <c r="R35" s="7"/>
      <c r="S35" s="7"/>
      <c r="T35" s="7"/>
      <c r="U35" s="7"/>
    </row>
    <row r="36" spans="1:21" ht="27.95" customHeight="1" x14ac:dyDescent="0.2">
      <c r="A36" s="56" t="s">
        <v>18</v>
      </c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16">
        <f t="shared" ca="1" si="2"/>
        <v>28</v>
      </c>
      <c r="O36" s="16">
        <f t="shared" ca="1" si="3"/>
        <v>42</v>
      </c>
      <c r="P36" s="16">
        <v>70</v>
      </c>
      <c r="Q36" s="7"/>
      <c r="R36" s="7"/>
      <c r="S36" s="7"/>
      <c r="T36" s="7"/>
      <c r="U36" s="7"/>
    </row>
    <row r="37" spans="1:21" x14ac:dyDescent="0.2">
      <c r="A37" s="56" t="s">
        <v>19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16">
        <f t="shared" ca="1" si="2"/>
        <v>28</v>
      </c>
      <c r="O37" s="16">
        <f t="shared" ca="1" si="3"/>
        <v>42</v>
      </c>
      <c r="P37" s="16">
        <v>70</v>
      </c>
      <c r="Q37" s="7"/>
      <c r="R37" s="7"/>
      <c r="S37" s="7"/>
      <c r="T37" s="7"/>
      <c r="U37" s="7"/>
    </row>
    <row r="38" spans="1:21" ht="27.95" customHeight="1" x14ac:dyDescent="0.2">
      <c r="A38" s="56" t="s">
        <v>20</v>
      </c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16">
        <f t="shared" ca="1" si="2"/>
        <v>844.80000000000007</v>
      </c>
      <c r="O38" s="16">
        <f t="shared" ca="1" si="3"/>
        <v>1267.2</v>
      </c>
      <c r="P38" s="16">
        <v>2112</v>
      </c>
      <c r="Q38" s="7"/>
      <c r="R38" s="7"/>
      <c r="S38" s="7"/>
      <c r="T38" s="7"/>
      <c r="U38" s="7"/>
    </row>
    <row r="39" spans="1:21" x14ac:dyDescent="0.2">
      <c r="A39" s="56" t="s">
        <v>21</v>
      </c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16" t="str">
        <f t="shared" ca="1" si="2"/>
        <v xml:space="preserve"> </v>
      </c>
      <c r="O39" s="16" t="str">
        <f t="shared" ca="1" si="3"/>
        <v xml:space="preserve"> </v>
      </c>
      <c r="P39" s="16"/>
      <c r="Q39" s="7"/>
      <c r="R39" s="7"/>
      <c r="S39" s="7"/>
      <c r="T39" s="7"/>
      <c r="U39" s="7"/>
    </row>
    <row r="40" spans="1:21" x14ac:dyDescent="0.2">
      <c r="A40" s="66" t="s">
        <v>29</v>
      </c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23">
        <f t="shared" ca="1" si="2"/>
        <v>844.80000000000007</v>
      </c>
      <c r="O40" s="23">
        <f t="shared" ca="1" si="3"/>
        <v>1267.2</v>
      </c>
      <c r="P40" s="23">
        <v>2112</v>
      </c>
      <c r="Q40" s="7"/>
      <c r="R40" s="7"/>
      <c r="S40" s="7"/>
      <c r="T40" s="7"/>
      <c r="U40" s="7"/>
    </row>
    <row r="41" spans="1:21" ht="21" customHeight="1" x14ac:dyDescent="0.2">
      <c r="A41" s="54" t="s">
        <v>30</v>
      </c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7"/>
      <c r="R41" s="7"/>
      <c r="S41" s="7"/>
      <c r="T41" s="7"/>
      <c r="U41" s="7"/>
    </row>
    <row r="42" spans="1:21" ht="102" x14ac:dyDescent="0.2">
      <c r="A42" s="12">
        <v>3</v>
      </c>
      <c r="B42" s="13" t="s">
        <v>31</v>
      </c>
      <c r="C42" s="13" t="s">
        <v>32</v>
      </c>
      <c r="D42" s="14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200000 * 0,072*0,5</v>
      </c>
      <c r="E42" s="15">
        <f>IF( 1 = "","0",1)</f>
        <v>1</v>
      </c>
      <c r="F42" s="15" t="str">
        <f ca="1">IF(INDIRECT("J" &amp; ROW())="текущие цены", IF(INDIRECT("G" &amp; ROW())="", "0", "0"), IF(INDIRECT("G" &amp; ROW())="", "7200","200000"))</f>
        <v>200000</v>
      </c>
      <c r="G42" s="15" t="s">
        <v>33</v>
      </c>
      <c r="H42" s="15"/>
      <c r="I42" s="15"/>
      <c r="J42" s="15" t="s">
        <v>13</v>
      </c>
      <c r="K42" s="15" t="s">
        <v>34</v>
      </c>
      <c r="L42" s="15">
        <v>3</v>
      </c>
      <c r="M42" s="15" t="s">
        <v>35</v>
      </c>
      <c r="N42" s="16">
        <f ca="1">IF(ISNUMBER(INDIRECT("P" &amp; ROW())), INDIRECT("P" &amp; ROW())*0.4, " ")</f>
        <v>2880</v>
      </c>
      <c r="O42" s="16">
        <f ca="1">IF(ISNUMBER(INDIRECT("P" &amp; ROW())), INDIRECT("P" &amp; ROW())*0.6, " ")</f>
        <v>4320</v>
      </c>
      <c r="P42" s="16">
        <f ca="1">IF(INDIRECT("J" &amp; ROW())="текущие цены", 0, 7200)</f>
        <v>7200</v>
      </c>
      <c r="Q42" s="7"/>
      <c r="R42" s="7"/>
      <c r="S42" s="7"/>
      <c r="T42" s="7"/>
      <c r="U42" s="7"/>
    </row>
    <row r="43" spans="1:21" ht="102" x14ac:dyDescent="0.2">
      <c r="A43" s="17">
        <v>4</v>
      </c>
      <c r="B43" s="18" t="s">
        <v>31</v>
      </c>
      <c r="C43" s="18" t="s">
        <v>36</v>
      </c>
      <c r="D43" s="19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8177 * 6 * 0,072*0,5</v>
      </c>
      <c r="E43" s="20">
        <f>IF( 8177 = "","0",8177)</f>
        <v>8177</v>
      </c>
      <c r="F43" s="20" t="str">
        <f ca="1">IF(INDIRECT("J" &amp; ROW())="текущие цены", IF(INDIRECT("G" &amp; ROW())="", "0", "0"), IF(INDIRECT("G" &amp; ROW())="", "0.22","6"))</f>
        <v>6</v>
      </c>
      <c r="G43" s="20" t="s">
        <v>33</v>
      </c>
      <c r="H43" s="20"/>
      <c r="I43" s="20"/>
      <c r="J43" s="20" t="s">
        <v>13</v>
      </c>
      <c r="K43" s="20" t="s">
        <v>34</v>
      </c>
      <c r="L43" s="20">
        <v>3</v>
      </c>
      <c r="M43" s="20" t="s">
        <v>37</v>
      </c>
      <c r="N43" s="21">
        <f ca="1">IF(ISNUMBER(INDIRECT("P" &amp; ROW())), INDIRECT("P" &amp; ROW())*0.4, " ")</f>
        <v>719.6</v>
      </c>
      <c r="O43" s="21">
        <f ca="1">IF(ISNUMBER(INDIRECT("P" &amp; ROW())), INDIRECT("P" &amp; ROW())*0.6, " ")</f>
        <v>1079.3999999999999</v>
      </c>
      <c r="P43" s="21">
        <f ca="1">IF(INDIRECT("J" &amp; ROW())="текущие цены", 0, 1799)</f>
        <v>1799</v>
      </c>
      <c r="Q43" s="7"/>
      <c r="R43" s="7"/>
      <c r="S43" s="7"/>
      <c r="T43" s="7"/>
      <c r="U43" s="7"/>
    </row>
    <row r="44" spans="1:21" x14ac:dyDescent="0.2">
      <c r="A44" s="56" t="s">
        <v>16</v>
      </c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16">
        <f t="shared" ref="N44:N50" ca="1" si="4">IF(ISNUMBER(INDIRECT("P" &amp; ROW())), INDIRECT("P" &amp; ROW()) * 0.4, " ")</f>
        <v>3599.6000000000004</v>
      </c>
      <c r="O44" s="16">
        <f t="shared" ref="O44:O50" ca="1" si="5">IF(ISNUMBER(INDIRECT("P" &amp; ROW())), INDIRECT("P" &amp; ROW()) * 0.6, " ")</f>
        <v>5399.4</v>
      </c>
      <c r="P44" s="16">
        <v>8999</v>
      </c>
      <c r="Q44" s="7"/>
      <c r="R44" s="7"/>
      <c r="S44" s="7"/>
      <c r="T44" s="7"/>
      <c r="U44" s="7"/>
    </row>
    <row r="45" spans="1:21" x14ac:dyDescent="0.2">
      <c r="A45" s="58" t="s">
        <v>38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22" t="str">
        <f t="shared" ca="1" si="4"/>
        <v xml:space="preserve"> </v>
      </c>
      <c r="O45" s="22" t="str">
        <f t="shared" ca="1" si="5"/>
        <v xml:space="preserve"> </v>
      </c>
      <c r="P45" s="22"/>
      <c r="Q45" s="7"/>
      <c r="R45" s="7"/>
      <c r="S45" s="7"/>
      <c r="T45" s="7"/>
      <c r="U45" s="7"/>
    </row>
    <row r="46" spans="1:21" ht="27.95" customHeight="1" x14ac:dyDescent="0.2">
      <c r="A46" s="56" t="s">
        <v>39</v>
      </c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16">
        <f t="shared" ca="1" si="4"/>
        <v>3599.6000000000004</v>
      </c>
      <c r="O46" s="16">
        <f t="shared" ca="1" si="5"/>
        <v>5399.4</v>
      </c>
      <c r="P46" s="16">
        <v>8999</v>
      </c>
      <c r="Q46" s="7"/>
      <c r="R46" s="7"/>
      <c r="S46" s="7"/>
      <c r="T46" s="7"/>
      <c r="U46" s="7"/>
    </row>
    <row r="47" spans="1:21" x14ac:dyDescent="0.2">
      <c r="A47" s="56" t="s">
        <v>19</v>
      </c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16">
        <f t="shared" ca="1" si="4"/>
        <v>3599.6000000000004</v>
      </c>
      <c r="O47" s="16">
        <f t="shared" ca="1" si="5"/>
        <v>5399.4</v>
      </c>
      <c r="P47" s="16">
        <v>8999</v>
      </c>
      <c r="Q47" s="7"/>
      <c r="R47" s="7"/>
      <c r="S47" s="7"/>
      <c r="T47" s="7"/>
      <c r="U47" s="7"/>
    </row>
    <row r="48" spans="1:21" ht="27.95" customHeight="1" x14ac:dyDescent="0.2">
      <c r="A48" s="56" t="s">
        <v>40</v>
      </c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16">
        <f t="shared" ca="1" si="4"/>
        <v>14110.400000000001</v>
      </c>
      <c r="O48" s="16">
        <f t="shared" ca="1" si="5"/>
        <v>21165.599999999999</v>
      </c>
      <c r="P48" s="16">
        <v>35276</v>
      </c>
      <c r="Q48" s="7"/>
      <c r="R48" s="7"/>
      <c r="S48" s="7"/>
      <c r="T48" s="7"/>
      <c r="U48" s="7"/>
    </row>
    <row r="49" spans="1:21" x14ac:dyDescent="0.2">
      <c r="A49" s="56" t="s">
        <v>21</v>
      </c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16" t="str">
        <f t="shared" ca="1" si="4"/>
        <v xml:space="preserve"> </v>
      </c>
      <c r="O49" s="16" t="str">
        <f t="shared" ca="1" si="5"/>
        <v xml:space="preserve"> </v>
      </c>
      <c r="P49" s="16"/>
      <c r="Q49" s="7"/>
      <c r="R49" s="7"/>
      <c r="S49" s="7"/>
      <c r="T49" s="7"/>
      <c r="U49" s="7"/>
    </row>
    <row r="50" spans="1:21" x14ac:dyDescent="0.2">
      <c r="A50" s="66" t="s">
        <v>41</v>
      </c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23">
        <f t="shared" ca="1" si="4"/>
        <v>14110.400000000001</v>
      </c>
      <c r="O50" s="23">
        <f t="shared" ca="1" si="5"/>
        <v>21165.599999999999</v>
      </c>
      <c r="P50" s="23">
        <v>35276</v>
      </c>
      <c r="Q50" s="7"/>
      <c r="R50" s="7"/>
      <c r="S50" s="7"/>
      <c r="T50" s="7"/>
      <c r="U50" s="7"/>
    </row>
    <row r="51" spans="1:21" ht="21" customHeight="1" x14ac:dyDescent="0.2">
      <c r="A51" s="54" t="s">
        <v>42</v>
      </c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7"/>
      <c r="R51" s="7"/>
      <c r="S51" s="7"/>
      <c r="T51" s="7"/>
      <c r="U51" s="7"/>
    </row>
    <row r="52" spans="1:21" ht="114.75" x14ac:dyDescent="0.2">
      <c r="A52" s="12" t="s">
        <v>62</v>
      </c>
      <c r="B52" s="13" t="s">
        <v>31</v>
      </c>
      <c r="C52" s="13" t="s">
        <v>32</v>
      </c>
      <c r="D52" s="14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200000 * 0,072*0,04*0,5</v>
      </c>
      <c r="E52" s="15">
        <f>IF( 1 = "","0",1)</f>
        <v>1</v>
      </c>
      <c r="F52" s="15" t="str">
        <f ca="1">IF(INDIRECT("J" &amp; ROW())="текущие цены", IF(INDIRECT("G" &amp; ROW())="", "0", "0"), IF(INDIRECT("G" &amp; ROW())="", "288","200000"))</f>
        <v>200000</v>
      </c>
      <c r="G52" s="15" t="s">
        <v>43</v>
      </c>
      <c r="H52" s="15"/>
      <c r="I52" s="15"/>
      <c r="J52" s="15" t="s">
        <v>13</v>
      </c>
      <c r="K52" s="15" t="s">
        <v>44</v>
      </c>
      <c r="L52" s="15">
        <v>4</v>
      </c>
      <c r="M52" s="15" t="s">
        <v>35</v>
      </c>
      <c r="N52" s="16">
        <f ca="1">IF(ISNUMBER(INDIRECT("P" &amp; ROW())), INDIRECT("P" &amp; ROW())*0.4, " ")</f>
        <v>115.2</v>
      </c>
      <c r="O52" s="16">
        <f ca="1">IF(ISNUMBER(INDIRECT("P" &amp; ROW())), INDIRECT("P" &amp; ROW())*0.6, " ")</f>
        <v>172.79999999999998</v>
      </c>
      <c r="P52" s="16">
        <f ca="1">IF(INDIRECT("J" &amp; ROW())="текущие цены", 0, 288)</f>
        <v>288</v>
      </c>
      <c r="Q52" s="7"/>
      <c r="R52" s="7"/>
      <c r="S52" s="7"/>
      <c r="T52" s="7"/>
      <c r="U52" s="7"/>
    </row>
    <row r="53" spans="1:21" ht="114.75" x14ac:dyDescent="0.2">
      <c r="A53" s="17" t="s">
        <v>63</v>
      </c>
      <c r="B53" s="18" t="s">
        <v>31</v>
      </c>
      <c r="C53" s="18" t="s">
        <v>36</v>
      </c>
      <c r="D53" s="19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8177 * 6 * 0,072*0,04*0,5</v>
      </c>
      <c r="E53" s="20">
        <f>IF( 8177 = "","0",8177)</f>
        <v>8177</v>
      </c>
      <c r="F53" s="20" t="str">
        <f ca="1">IF(INDIRECT("J" &amp; ROW())="текущие цены", IF(INDIRECT("G" &amp; ROW())="", "0", "0"), IF(INDIRECT("G" &amp; ROW())="", "0.01","6"))</f>
        <v>6</v>
      </c>
      <c r="G53" s="20" t="s">
        <v>43</v>
      </c>
      <c r="H53" s="20"/>
      <c r="I53" s="20"/>
      <c r="J53" s="20" t="s">
        <v>13</v>
      </c>
      <c r="K53" s="20" t="s">
        <v>44</v>
      </c>
      <c r="L53" s="20">
        <v>4</v>
      </c>
      <c r="M53" s="20" t="s">
        <v>37</v>
      </c>
      <c r="N53" s="21">
        <f ca="1">IF(ISNUMBER(INDIRECT("P" &amp; ROW())), INDIRECT("P" &amp; ROW())*0.4, " ")</f>
        <v>32.800000000000004</v>
      </c>
      <c r="O53" s="21">
        <f ca="1">IF(ISNUMBER(INDIRECT("P" &amp; ROW())), INDIRECT("P" &amp; ROW())*0.6, " ")</f>
        <v>49.199999999999996</v>
      </c>
      <c r="P53" s="21">
        <f ca="1">IF(INDIRECT("J" &amp; ROW())="текущие цены", 0, 82)</f>
        <v>82</v>
      </c>
      <c r="Q53" s="7"/>
      <c r="R53" s="7"/>
      <c r="S53" s="7"/>
      <c r="T53" s="7"/>
      <c r="U53" s="7"/>
    </row>
    <row r="54" spans="1:21" x14ac:dyDescent="0.2">
      <c r="A54" s="56" t="s">
        <v>16</v>
      </c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16">
        <f t="shared" ref="N54:N61" ca="1" si="6">IF(ISNUMBER(INDIRECT("P" &amp; ROW())), INDIRECT("P" &amp; ROW()) * 0.4, " ")</f>
        <v>148</v>
      </c>
      <c r="O54" s="16">
        <f t="shared" ref="O54:O61" ca="1" si="7">IF(ISNUMBER(INDIRECT("P" &amp; ROW())), INDIRECT("P" &amp; ROW()) * 0.6, " ")</f>
        <v>222</v>
      </c>
      <c r="P54" s="16">
        <v>370</v>
      </c>
      <c r="Q54" s="7"/>
      <c r="R54" s="7"/>
      <c r="S54" s="7"/>
      <c r="T54" s="7"/>
      <c r="U54" s="7"/>
    </row>
    <row r="55" spans="1:21" x14ac:dyDescent="0.2">
      <c r="A55" s="58" t="s">
        <v>45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22" t="str">
        <f t="shared" ca="1" si="6"/>
        <v xml:space="preserve"> </v>
      </c>
      <c r="O55" s="22" t="str">
        <f t="shared" ca="1" si="7"/>
        <v xml:space="preserve"> </v>
      </c>
      <c r="P55" s="22"/>
      <c r="Q55" s="7"/>
      <c r="R55" s="7"/>
      <c r="S55" s="7"/>
      <c r="T55" s="7"/>
      <c r="U55" s="7"/>
    </row>
    <row r="56" spans="1:21" ht="27.95" customHeight="1" x14ac:dyDescent="0.2">
      <c r="A56" s="56" t="s">
        <v>39</v>
      </c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16">
        <f t="shared" ca="1" si="6"/>
        <v>148</v>
      </c>
      <c r="O56" s="16">
        <f t="shared" ca="1" si="7"/>
        <v>222</v>
      </c>
      <c r="P56" s="16">
        <v>370</v>
      </c>
      <c r="Q56" s="7"/>
      <c r="R56" s="7"/>
      <c r="S56" s="7"/>
      <c r="T56" s="7"/>
      <c r="U56" s="7"/>
    </row>
    <row r="57" spans="1:21" x14ac:dyDescent="0.2">
      <c r="A57" s="56" t="s">
        <v>19</v>
      </c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16">
        <f t="shared" ca="1" si="6"/>
        <v>148</v>
      </c>
      <c r="O57" s="16">
        <f t="shared" ca="1" si="7"/>
        <v>222</v>
      </c>
      <c r="P57" s="16">
        <v>370</v>
      </c>
      <c r="Q57" s="7"/>
      <c r="R57" s="7"/>
      <c r="S57" s="7"/>
      <c r="T57" s="7"/>
      <c r="U57" s="7"/>
    </row>
    <row r="58" spans="1:21" ht="27.95" customHeight="1" x14ac:dyDescent="0.2">
      <c r="A58" s="56" t="s">
        <v>40</v>
      </c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16">
        <f t="shared" ca="1" si="6"/>
        <v>580</v>
      </c>
      <c r="O58" s="16">
        <f t="shared" ca="1" si="7"/>
        <v>870</v>
      </c>
      <c r="P58" s="16">
        <v>1450</v>
      </c>
      <c r="Q58" s="7"/>
      <c r="R58" s="7"/>
      <c r="S58" s="7"/>
      <c r="T58" s="7"/>
      <c r="U58" s="7"/>
    </row>
    <row r="59" spans="1:21" x14ac:dyDescent="0.2">
      <c r="A59" s="56" t="s">
        <v>21</v>
      </c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16" t="str">
        <f t="shared" ca="1" si="6"/>
        <v xml:space="preserve"> </v>
      </c>
      <c r="O59" s="16" t="str">
        <f t="shared" ca="1" si="7"/>
        <v xml:space="preserve"> </v>
      </c>
      <c r="P59" s="16"/>
      <c r="Q59" s="7"/>
      <c r="R59" s="7"/>
      <c r="S59" s="7"/>
      <c r="T59" s="7"/>
      <c r="U59" s="7"/>
    </row>
    <row r="60" spans="1:21" x14ac:dyDescent="0.2">
      <c r="A60" s="56" t="s">
        <v>46</v>
      </c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16">
        <f t="shared" ca="1" si="6"/>
        <v>32.800000000000004</v>
      </c>
      <c r="O60" s="16">
        <f t="shared" ca="1" si="7"/>
        <v>49.199999999999996</v>
      </c>
      <c r="P60" s="16">
        <v>82</v>
      </c>
      <c r="Q60" s="7"/>
      <c r="R60" s="7"/>
      <c r="S60" s="7"/>
      <c r="T60" s="7"/>
      <c r="U60" s="7"/>
    </row>
    <row r="61" spans="1:21" x14ac:dyDescent="0.2">
      <c r="A61" s="66" t="s">
        <v>47</v>
      </c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23">
        <f t="shared" ca="1" si="6"/>
        <v>580</v>
      </c>
      <c r="O61" s="23">
        <f t="shared" ca="1" si="7"/>
        <v>870</v>
      </c>
      <c r="P61" s="23">
        <v>1450</v>
      </c>
      <c r="Q61" s="7"/>
      <c r="R61" s="7"/>
      <c r="S61" s="7"/>
      <c r="T61" s="7"/>
      <c r="U61" s="7"/>
    </row>
    <row r="62" spans="1:21" ht="21" customHeight="1" x14ac:dyDescent="0.2">
      <c r="A62" s="54" t="s">
        <v>48</v>
      </c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7"/>
      <c r="R62" s="7"/>
      <c r="S62" s="7"/>
      <c r="T62" s="7"/>
      <c r="U62" s="7"/>
    </row>
    <row r="63" spans="1:21" ht="114.75" x14ac:dyDescent="0.2">
      <c r="A63" s="12" t="s">
        <v>64</v>
      </c>
      <c r="B63" s="13" t="s">
        <v>31</v>
      </c>
      <c r="C63" s="13" t="s">
        <v>32</v>
      </c>
      <c r="D63" s="14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200000 * 0,072*0,05*0,5</v>
      </c>
      <c r="E63" s="15">
        <f>IF( 1 = "","0",1)</f>
        <v>1</v>
      </c>
      <c r="F63" s="15" t="str">
        <f ca="1">IF(INDIRECT("J" &amp; ROW())="текущие цены", IF(INDIRECT("G" &amp; ROW())="", "0", "0"), IF(INDIRECT("G" &amp; ROW())="", "360","200000"))</f>
        <v>200000</v>
      </c>
      <c r="G63" s="15" t="s">
        <v>49</v>
      </c>
      <c r="H63" s="15"/>
      <c r="I63" s="15"/>
      <c r="J63" s="15" t="s">
        <v>13</v>
      </c>
      <c r="K63" s="15" t="s">
        <v>50</v>
      </c>
      <c r="L63" s="15">
        <v>5</v>
      </c>
      <c r="M63" s="15" t="s">
        <v>35</v>
      </c>
      <c r="N63" s="16">
        <f ca="1">IF(ISNUMBER(INDIRECT("P" &amp; ROW())), INDIRECT("P" &amp; ROW())*0.4, " ")</f>
        <v>144</v>
      </c>
      <c r="O63" s="16">
        <f ca="1">IF(ISNUMBER(INDIRECT("P" &amp; ROW())), INDIRECT("P" &amp; ROW())*0.6, " ")</f>
        <v>216</v>
      </c>
      <c r="P63" s="16">
        <f ca="1">IF(INDIRECT("J" &amp; ROW())="текущие цены", 0, 360)</f>
        <v>360</v>
      </c>
      <c r="Q63" s="7"/>
      <c r="R63" s="7"/>
      <c r="S63" s="7"/>
      <c r="T63" s="7"/>
      <c r="U63" s="7"/>
    </row>
    <row r="64" spans="1:21" ht="114.75" x14ac:dyDescent="0.2">
      <c r="A64" s="17" t="s">
        <v>65</v>
      </c>
      <c r="B64" s="18" t="s">
        <v>31</v>
      </c>
      <c r="C64" s="18" t="s">
        <v>36</v>
      </c>
      <c r="D64" s="19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8177 * 6 * 0,072*0,05*0,5</v>
      </c>
      <c r="E64" s="20">
        <f>IF( 8177 = "","0",8177)</f>
        <v>8177</v>
      </c>
      <c r="F64" s="20" t="str">
        <f ca="1">IF(INDIRECT("J" &amp; ROW())="текущие цены", IF(INDIRECT("G" &amp; ROW())="", "0", "0"), IF(INDIRECT("G" &amp; ROW())="", "0.01","6"))</f>
        <v>6</v>
      </c>
      <c r="G64" s="20" t="s">
        <v>49</v>
      </c>
      <c r="H64" s="20"/>
      <c r="I64" s="20"/>
      <c r="J64" s="20" t="s">
        <v>13</v>
      </c>
      <c r="K64" s="20" t="s">
        <v>51</v>
      </c>
      <c r="L64" s="20">
        <v>5</v>
      </c>
      <c r="M64" s="20" t="s">
        <v>37</v>
      </c>
      <c r="N64" s="21">
        <f ca="1">IF(ISNUMBER(INDIRECT("P" &amp; ROW())), INDIRECT("P" &amp; ROW())*0.4, " ")</f>
        <v>32.800000000000004</v>
      </c>
      <c r="O64" s="21">
        <f ca="1">IF(ISNUMBER(INDIRECT("P" &amp; ROW())), INDIRECT("P" &amp; ROW())*0.6, " ")</f>
        <v>49.199999999999996</v>
      </c>
      <c r="P64" s="21">
        <f ca="1">IF(INDIRECT("J" &amp; ROW())="текущие цены", 0, 82)</f>
        <v>82</v>
      </c>
      <c r="Q64" s="7"/>
      <c r="R64" s="7"/>
      <c r="S64" s="7"/>
      <c r="T64" s="7"/>
      <c r="U64" s="7"/>
    </row>
    <row r="65" spans="1:21" x14ac:dyDescent="0.2">
      <c r="A65" s="56" t="s">
        <v>16</v>
      </c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16">
        <f t="shared" ref="N65:N81" ca="1" si="8">IF(ISNUMBER(INDIRECT("P" &amp; ROW())), INDIRECT("P" &amp; ROW()) * 0.4, " ")</f>
        <v>176.8</v>
      </c>
      <c r="O65" s="16">
        <f t="shared" ref="O65:O81" ca="1" si="9">IF(ISNUMBER(INDIRECT("P" &amp; ROW())), INDIRECT("P" &amp; ROW()) * 0.6, " ")</f>
        <v>265.2</v>
      </c>
      <c r="P65" s="16">
        <v>442</v>
      </c>
      <c r="Q65" s="7"/>
      <c r="R65" s="7"/>
      <c r="S65" s="7"/>
      <c r="T65" s="7"/>
      <c r="U65" s="7"/>
    </row>
    <row r="66" spans="1:21" x14ac:dyDescent="0.2">
      <c r="A66" s="58" t="s">
        <v>52</v>
      </c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22" t="str">
        <f t="shared" ca="1" si="8"/>
        <v xml:space="preserve"> </v>
      </c>
      <c r="O66" s="22" t="str">
        <f t="shared" ca="1" si="9"/>
        <v xml:space="preserve"> </v>
      </c>
      <c r="P66" s="22"/>
      <c r="Q66" s="7"/>
      <c r="R66" s="7"/>
      <c r="S66" s="7"/>
      <c r="T66" s="7"/>
      <c r="U66" s="7"/>
    </row>
    <row r="67" spans="1:21" ht="27.95" customHeight="1" x14ac:dyDescent="0.2">
      <c r="A67" s="56" t="s">
        <v>39</v>
      </c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16">
        <f t="shared" ca="1" si="8"/>
        <v>176.8</v>
      </c>
      <c r="O67" s="16">
        <f t="shared" ca="1" si="9"/>
        <v>265.2</v>
      </c>
      <c r="P67" s="16">
        <v>442</v>
      </c>
      <c r="Q67" s="7"/>
      <c r="R67" s="7"/>
      <c r="S67" s="7"/>
      <c r="T67" s="7"/>
      <c r="U67" s="7"/>
    </row>
    <row r="68" spans="1:21" x14ac:dyDescent="0.2">
      <c r="A68" s="56" t="s">
        <v>19</v>
      </c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16">
        <f t="shared" ca="1" si="8"/>
        <v>176.8</v>
      </c>
      <c r="O68" s="16">
        <f t="shared" ca="1" si="9"/>
        <v>265.2</v>
      </c>
      <c r="P68" s="16">
        <v>442</v>
      </c>
      <c r="Q68" s="7"/>
      <c r="R68" s="7"/>
      <c r="S68" s="7"/>
      <c r="T68" s="7"/>
      <c r="U68" s="7"/>
    </row>
    <row r="69" spans="1:21" ht="27.95" customHeight="1" x14ac:dyDescent="0.2">
      <c r="A69" s="56" t="s">
        <v>40</v>
      </c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16">
        <f t="shared" ca="1" si="8"/>
        <v>693.2</v>
      </c>
      <c r="O69" s="16">
        <f t="shared" ca="1" si="9"/>
        <v>1039.8</v>
      </c>
      <c r="P69" s="16">
        <v>1733</v>
      </c>
      <c r="Q69" s="7"/>
      <c r="R69" s="7"/>
      <c r="S69" s="7"/>
      <c r="T69" s="7"/>
      <c r="U69" s="7"/>
    </row>
    <row r="70" spans="1:21" x14ac:dyDescent="0.2">
      <c r="A70" s="56" t="s">
        <v>21</v>
      </c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16" t="str">
        <f t="shared" ca="1" si="8"/>
        <v xml:space="preserve"> </v>
      </c>
      <c r="O70" s="16" t="str">
        <f t="shared" ca="1" si="9"/>
        <v xml:space="preserve"> </v>
      </c>
      <c r="P70" s="16"/>
      <c r="Q70" s="7"/>
      <c r="R70" s="7"/>
      <c r="S70" s="7"/>
      <c r="T70" s="7"/>
      <c r="U70" s="7"/>
    </row>
    <row r="71" spans="1:21" x14ac:dyDescent="0.2">
      <c r="A71" s="56" t="s">
        <v>46</v>
      </c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16">
        <f t="shared" ca="1" si="8"/>
        <v>32.800000000000004</v>
      </c>
      <c r="O71" s="16">
        <f t="shared" ca="1" si="9"/>
        <v>49.199999999999996</v>
      </c>
      <c r="P71" s="16">
        <v>82</v>
      </c>
      <c r="Q71" s="7"/>
      <c r="R71" s="7"/>
      <c r="S71" s="7"/>
      <c r="T71" s="7"/>
      <c r="U71" s="7"/>
    </row>
    <row r="72" spans="1:21" x14ac:dyDescent="0.2">
      <c r="A72" s="66" t="s">
        <v>53</v>
      </c>
      <c r="B72" s="67"/>
      <c r="C72" s="67"/>
      <c r="D72" s="67"/>
      <c r="E72" s="67"/>
      <c r="F72" s="67"/>
      <c r="G72" s="67"/>
      <c r="H72" s="67"/>
      <c r="I72" s="67"/>
      <c r="J72" s="67"/>
      <c r="K72" s="67"/>
      <c r="L72" s="67"/>
      <c r="M72" s="67"/>
      <c r="N72" s="23">
        <f t="shared" ca="1" si="8"/>
        <v>693.2</v>
      </c>
      <c r="O72" s="23">
        <f t="shared" ca="1" si="9"/>
        <v>1039.8</v>
      </c>
      <c r="P72" s="23">
        <v>1733</v>
      </c>
      <c r="Q72" s="7"/>
      <c r="R72" s="7"/>
      <c r="S72" s="7"/>
      <c r="T72" s="7"/>
      <c r="U72" s="7"/>
    </row>
    <row r="73" spans="1:21" x14ac:dyDescent="0.2">
      <c r="A73" s="68" t="s">
        <v>54</v>
      </c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24">
        <f t="shared" ca="1" si="8"/>
        <v>4027.6000000000004</v>
      </c>
      <c r="O73" s="24">
        <f t="shared" ca="1" si="9"/>
        <v>6041.4</v>
      </c>
      <c r="P73" s="24">
        <v>10069</v>
      </c>
      <c r="Q73" s="7"/>
      <c r="R73" s="7"/>
      <c r="S73" s="7"/>
      <c r="T73" s="7"/>
      <c r="U73" s="7"/>
    </row>
    <row r="74" spans="1:21" x14ac:dyDescent="0.2">
      <c r="A74" s="69" t="s">
        <v>55</v>
      </c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25" t="str">
        <f t="shared" ca="1" si="8"/>
        <v xml:space="preserve"> </v>
      </c>
      <c r="O74" s="25" t="str">
        <f t="shared" ca="1" si="9"/>
        <v xml:space="preserve"> </v>
      </c>
      <c r="P74" s="25"/>
      <c r="Q74" s="7"/>
      <c r="R74" s="7"/>
      <c r="S74" s="7"/>
      <c r="T74" s="7"/>
      <c r="U74" s="7"/>
    </row>
    <row r="75" spans="1:21" ht="27.95" customHeight="1" x14ac:dyDescent="0.2">
      <c r="A75" s="68" t="s">
        <v>56</v>
      </c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24">
        <f t="shared" ca="1" si="8"/>
        <v>3113.6000000000004</v>
      </c>
      <c r="O75" s="24">
        <f t="shared" ca="1" si="9"/>
        <v>4670.3999999999996</v>
      </c>
      <c r="P75" s="24">
        <v>7784</v>
      </c>
      <c r="Q75" s="7"/>
      <c r="R75" s="7"/>
      <c r="S75" s="7"/>
      <c r="T75" s="7"/>
      <c r="U75" s="7"/>
    </row>
    <row r="76" spans="1:21" ht="27.95" customHeight="1" x14ac:dyDescent="0.2">
      <c r="A76" s="68" t="s">
        <v>57</v>
      </c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24">
        <f t="shared" ca="1" si="8"/>
        <v>15383.6</v>
      </c>
      <c r="O76" s="24">
        <f t="shared" ca="1" si="9"/>
        <v>23075.399999999998</v>
      </c>
      <c r="P76" s="24">
        <v>38459</v>
      </c>
      <c r="Q76" s="7"/>
      <c r="R76" s="7"/>
      <c r="S76" s="7"/>
      <c r="T76" s="7"/>
      <c r="U76" s="7"/>
    </row>
    <row r="77" spans="1:21" x14ac:dyDescent="0.2">
      <c r="A77" s="68" t="s">
        <v>19</v>
      </c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24">
        <f t="shared" ca="1" si="8"/>
        <v>18497.2</v>
      </c>
      <c r="O77" s="24">
        <f t="shared" ca="1" si="9"/>
        <v>27745.8</v>
      </c>
      <c r="P77" s="24">
        <v>46243</v>
      </c>
      <c r="Q77" s="7"/>
      <c r="R77" s="7"/>
      <c r="S77" s="7"/>
      <c r="T77" s="7"/>
      <c r="U77" s="7"/>
    </row>
    <row r="78" spans="1:21" x14ac:dyDescent="0.2">
      <c r="A78" s="68" t="s">
        <v>21</v>
      </c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24" t="str">
        <f t="shared" ca="1" si="8"/>
        <v xml:space="preserve"> </v>
      </c>
      <c r="O78" s="24" t="str">
        <f t="shared" ca="1" si="9"/>
        <v xml:space="preserve"> </v>
      </c>
      <c r="P78" s="24"/>
      <c r="Q78" s="7"/>
      <c r="R78" s="7"/>
      <c r="S78" s="7"/>
      <c r="T78" s="7"/>
      <c r="U78" s="7"/>
    </row>
    <row r="79" spans="1:21" x14ac:dyDescent="0.2">
      <c r="A79" s="68" t="s">
        <v>46</v>
      </c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24">
        <f t="shared" ca="1" si="8"/>
        <v>65.600000000000009</v>
      </c>
      <c r="O79" s="24">
        <f t="shared" ca="1" si="9"/>
        <v>98.399999999999991</v>
      </c>
      <c r="P79" s="24">
        <v>164</v>
      </c>
      <c r="Q79" s="7"/>
      <c r="R79" s="7"/>
      <c r="S79" s="7"/>
      <c r="T79" s="7"/>
      <c r="U79" s="7"/>
    </row>
    <row r="80" spans="1:21" x14ac:dyDescent="0.2">
      <c r="A80" s="68" t="s">
        <v>58</v>
      </c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24">
        <f t="shared" ca="1" si="8"/>
        <v>3329.4960000000001</v>
      </c>
      <c r="O80" s="24">
        <f t="shared" ca="1" si="9"/>
        <v>4994.2439999999997</v>
      </c>
      <c r="P80" s="24">
        <v>8323.74</v>
      </c>
      <c r="Q80" s="7"/>
      <c r="R80" s="7"/>
      <c r="S80" s="7"/>
      <c r="T80" s="7"/>
      <c r="U80" s="7"/>
    </row>
    <row r="81" spans="1:27" x14ac:dyDescent="0.2">
      <c r="A81" s="69" t="s">
        <v>59</v>
      </c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25">
        <f t="shared" ca="1" si="8"/>
        <v>21826.696</v>
      </c>
      <c r="O81" s="25">
        <f t="shared" ca="1" si="9"/>
        <v>32740.043999999998</v>
      </c>
      <c r="P81" s="25">
        <v>54566.74</v>
      </c>
      <c r="Q81" s="7"/>
      <c r="R81" s="7"/>
      <c r="S81" s="7"/>
      <c r="T81" s="7"/>
      <c r="U81" s="7"/>
    </row>
    <row r="82" spans="1:27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8"/>
      <c r="R82" s="8"/>
      <c r="S82" s="8"/>
      <c r="T82" s="8"/>
      <c r="U82" s="8"/>
    </row>
    <row r="83" spans="1:27" x14ac:dyDescent="0.2">
      <c r="A83" s="2"/>
      <c r="B83" s="2"/>
      <c r="C83" s="2"/>
      <c r="D83" s="2"/>
      <c r="E83" s="2"/>
      <c r="F83" s="2"/>
      <c r="G83" s="2"/>
      <c r="H83" s="2"/>
      <c r="I83" s="8"/>
      <c r="J83" s="8"/>
      <c r="K83" s="8"/>
      <c r="L83" s="8"/>
      <c r="M83" s="8"/>
      <c r="S83" s="10"/>
      <c r="AA83" s="1"/>
    </row>
    <row r="84" spans="1:27" s="35" customFormat="1" x14ac:dyDescent="0.2">
      <c r="A84" s="74" t="s">
        <v>66</v>
      </c>
      <c r="B84" s="75"/>
      <c r="C84" s="75"/>
      <c r="D84" s="75"/>
      <c r="E84" s="75"/>
      <c r="F84" s="75"/>
      <c r="G84" s="75"/>
      <c r="H84" s="34"/>
      <c r="S84" s="36"/>
    </row>
    <row r="85" spans="1:27" s="35" customFormat="1" x14ac:dyDescent="0.2">
      <c r="A85" s="70" t="s">
        <v>67</v>
      </c>
      <c r="B85" s="75"/>
      <c r="C85" s="75"/>
      <c r="D85" s="75"/>
      <c r="E85" s="75"/>
      <c r="F85" s="75"/>
      <c r="G85" s="75"/>
      <c r="H85" s="34"/>
      <c r="S85" s="36"/>
    </row>
    <row r="86" spans="1:27" s="35" customFormat="1" x14ac:dyDescent="0.2">
      <c r="A86" s="37"/>
      <c r="B86" s="38"/>
      <c r="C86" s="37"/>
      <c r="D86" s="37"/>
      <c r="E86" s="39"/>
      <c r="F86" s="39"/>
      <c r="G86" s="40"/>
      <c r="H86" s="34"/>
      <c r="S86" s="36"/>
    </row>
    <row r="87" spans="1:27" s="35" customFormat="1" x14ac:dyDescent="0.2">
      <c r="A87" s="74" t="s">
        <v>68</v>
      </c>
      <c r="B87" s="74"/>
      <c r="C87" s="74"/>
      <c r="D87" s="74"/>
      <c r="E87" s="74"/>
      <c r="F87" s="74"/>
      <c r="G87" s="74"/>
      <c r="H87" s="34"/>
      <c r="S87" s="36"/>
    </row>
    <row r="88" spans="1:27" s="35" customFormat="1" x14ac:dyDescent="0.2">
      <c r="A88" s="70" t="s">
        <v>67</v>
      </c>
      <c r="B88" s="70"/>
      <c r="C88" s="70"/>
      <c r="D88" s="70"/>
      <c r="E88" s="70"/>
      <c r="F88" s="70"/>
      <c r="G88" s="70"/>
      <c r="H88" s="34"/>
      <c r="S88" s="36"/>
    </row>
    <row r="89" spans="1:27" s="41" customFormat="1" x14ac:dyDescent="0.2">
      <c r="S89" s="42"/>
    </row>
  </sheetData>
  <mergeCells count="67">
    <mergeCell ref="A88:G88"/>
    <mergeCell ref="A11:F11"/>
    <mergeCell ref="A14:B14"/>
    <mergeCell ref="A15:B15"/>
    <mergeCell ref="A84:G84"/>
    <mergeCell ref="A85:G85"/>
    <mergeCell ref="A87:G87"/>
    <mergeCell ref="A76:M76"/>
    <mergeCell ref="A77:M77"/>
    <mergeCell ref="A78:M78"/>
    <mergeCell ref="A79:M79"/>
    <mergeCell ref="A80:M80"/>
    <mergeCell ref="A81:M81"/>
    <mergeCell ref="A70:M70"/>
    <mergeCell ref="A71:M71"/>
    <mergeCell ref="A72:M72"/>
    <mergeCell ref="A73:M73"/>
    <mergeCell ref="A74:M74"/>
    <mergeCell ref="A75:M75"/>
    <mergeCell ref="A62:P62"/>
    <mergeCell ref="A65:M65"/>
    <mergeCell ref="A66:M66"/>
    <mergeCell ref="A67:M67"/>
    <mergeCell ref="A68:M68"/>
    <mergeCell ref="A69:M69"/>
    <mergeCell ref="A61:M61"/>
    <mergeCell ref="A48:M48"/>
    <mergeCell ref="A49:M49"/>
    <mergeCell ref="A50:M50"/>
    <mergeCell ref="A51:P51"/>
    <mergeCell ref="A54:M54"/>
    <mergeCell ref="A55:M55"/>
    <mergeCell ref="A56:M56"/>
    <mergeCell ref="A57:M57"/>
    <mergeCell ref="A58:M58"/>
    <mergeCell ref="A59:M59"/>
    <mergeCell ref="A60:M60"/>
    <mergeCell ref="A30:M30"/>
    <mergeCell ref="A31:M31"/>
    <mergeCell ref="A47:M47"/>
    <mergeCell ref="A34:M34"/>
    <mergeCell ref="A35:M35"/>
    <mergeCell ref="A36:M36"/>
    <mergeCell ref="A37:M37"/>
    <mergeCell ref="A38:M38"/>
    <mergeCell ref="A39:M39"/>
    <mergeCell ref="A40:M40"/>
    <mergeCell ref="A41:P41"/>
    <mergeCell ref="A44:M44"/>
    <mergeCell ref="A45:M45"/>
    <mergeCell ref="A46:M46"/>
    <mergeCell ref="A10:F10"/>
    <mergeCell ref="C20:C21"/>
    <mergeCell ref="D20:D21"/>
    <mergeCell ref="A1:D1"/>
    <mergeCell ref="A32:P32"/>
    <mergeCell ref="A20:A21"/>
    <mergeCell ref="B20:B21"/>
    <mergeCell ref="A23:P23"/>
    <mergeCell ref="A25:M25"/>
    <mergeCell ref="A26:M26"/>
    <mergeCell ref="K20:K21"/>
    <mergeCell ref="M20:M21"/>
    <mergeCell ref="N20:P21"/>
    <mergeCell ref="A27:M27"/>
    <mergeCell ref="A28:M28"/>
    <mergeCell ref="A29:M29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72" fitToHeight="30000" orientation="landscape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2"/>
  <sheetViews>
    <sheetView workbookViewId="0">
      <selection activeCell="A12" sqref="A12"/>
    </sheetView>
  </sheetViews>
  <sheetFormatPr defaultRowHeight="12.75" x14ac:dyDescent="0.2"/>
  <sheetData>
    <row r="12" spans="1:1" x14ac:dyDescent="0.2">
      <c r="A12">
        <f>MAX('Мои данные'!L:L)</f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Вспомогательный</vt:lpstr>
      <vt:lpstr>'Мои данные'!Заголовки_для_печати</vt:lpstr>
      <vt:lpstr>'Мои данные'!Область_печати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Чередеева Наталья Артуровна</dc:creator>
  <dc:description>17.05.2010</dc:description>
  <cp:lastModifiedBy>Сорокина Екатерина Сергеевна</cp:lastModifiedBy>
  <cp:lastPrinted>2017-02-21T01:32:04Z</cp:lastPrinted>
  <dcterms:created xsi:type="dcterms:W3CDTF">2007-02-21T08:42:24Z</dcterms:created>
  <dcterms:modified xsi:type="dcterms:W3CDTF">2017-02-21T01:32:06Z</dcterms:modified>
</cp:coreProperties>
</file>