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3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externalReferences>
    <externalReference r:id="rId3"/>
    <externalReference r:id="rId4"/>
    <externalReference r:id="rId5"/>
    <externalReference r:id="rId6"/>
  </externalReferences>
  <definedNames>
    <definedName name="_xlnm.Print_Titles" localSheetId="0">'Мои данные'!$20:$20</definedName>
    <definedName name="_xlnm.Print_Area" localSheetId="0">'Мои данные'!$A$1:$P$50</definedName>
  </definedNames>
  <calcPr calcId="152511"/>
</workbook>
</file>

<file path=xl/calcChain.xml><?xml version="1.0" encoding="utf-8"?>
<calcChain xmlns="http://schemas.openxmlformats.org/spreadsheetml/2006/main">
  <c r="E26" i="1" l="1"/>
  <c r="E27" i="1"/>
  <c r="E29" i="1"/>
  <c r="E30" i="1"/>
  <c r="E32" i="1"/>
  <c r="E33" i="1"/>
  <c r="E22" i="1"/>
  <c r="E23" i="1"/>
  <c r="A12" i="2"/>
  <c r="O40" i="1"/>
  <c r="P32" i="1"/>
  <c r="F27" i="1"/>
  <c r="F30" i="1"/>
  <c r="O39" i="1"/>
  <c r="P26" i="1"/>
  <c r="O24" i="1"/>
  <c r="N38" i="1"/>
  <c r="N26" i="1"/>
  <c r="P27" i="1"/>
  <c r="N32" i="1"/>
  <c r="N27" i="1"/>
  <c r="F33" i="1"/>
  <c r="F22" i="1"/>
  <c r="P22" i="1"/>
  <c r="N34" i="1"/>
  <c r="O38" i="1"/>
  <c r="O36" i="1"/>
  <c r="N41" i="1"/>
  <c r="N24" i="1"/>
  <c r="F32" i="1"/>
  <c r="D32" i="1" s="1"/>
  <c r="P33" i="1"/>
  <c r="F29" i="1"/>
  <c r="D29" i="1" s="1"/>
  <c r="N36" i="1"/>
  <c r="N33" i="1"/>
  <c r="O37" i="1"/>
  <c r="P23" i="1"/>
  <c r="O23" i="1" s="1"/>
  <c r="N23" i="1"/>
  <c r="D22" i="1"/>
  <c r="N37" i="1"/>
  <c r="N39" i="1"/>
  <c r="D33" i="1"/>
  <c r="N22" i="1"/>
  <c r="F26" i="1"/>
  <c r="N35" i="1"/>
  <c r="O42" i="1"/>
  <c r="N43" i="1"/>
  <c r="O35" i="1"/>
  <c r="P30" i="1"/>
  <c r="O41" i="1"/>
  <c r="P29" i="1"/>
  <c r="O32" i="1"/>
  <c r="N40" i="1"/>
  <c r="N42" i="1"/>
  <c r="N29" i="1"/>
  <c r="O22" i="1"/>
  <c r="O26" i="1"/>
  <c r="D30" i="1"/>
  <c r="O34" i="1"/>
  <c r="O43" i="1"/>
  <c r="F23" i="1"/>
  <c r="D23" i="1" s="1"/>
  <c r="D26" i="1"/>
  <c r="N30" i="1"/>
  <c r="O29" i="1"/>
  <c r="D27" i="1"/>
  <c r="O30" i="1"/>
  <c r="O33" i="1"/>
  <c r="O27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2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0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0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0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0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0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3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35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35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3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4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4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5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<sst xmlns="http://schemas.openxmlformats.org/spreadsheetml/2006/main" count="94" uniqueCount="71">
  <si>
    <t>№ пп</t>
  </si>
  <si>
    <t>на проектные (изыскательские)  работы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</si>
  <si>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</si>
  <si>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</si>
  <si>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</si>
  <si>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</si>
  <si>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по проектной документации</t>
  </si>
  <si>
    <t>по рабочей документации</t>
  </si>
  <si>
    <t>всего</t>
  </si>
  <si>
    <t>Стоимость работ, руб.</t>
  </si>
  <si>
    <t>Раздел 1. Обмерные работы и обследовательские работы</t>
  </si>
  <si>
    <t>Обмерные работы для многоэтажных зданий I категории сложности, категория сложности работ 2, высота здания до 15 м</t>
  </si>
  <si>
    <t>СБЦ99-2-1-2-10
"Обмерные работы и обследования зданий (1998г.)"</t>
  </si>
  <si>
    <t>1,1*0,75*0,1177</t>
  </si>
  <si>
    <t>25922 / 100</t>
  </si>
  <si>
    <t>цены 2001</t>
  </si>
  <si>
    <t>(11 Сейсмичность 7 баллов ПЗ=1,1;
2.11 При выполнении работ с использованием и сверкой имеющихся чертежей и выдачей скорректированных чертежей заказчику ПЗ=0,75;
СБЦП 10,59%-крыши, 1,18%-планы кровли со вскрытиями (табл.8 п. 12, п. 13) ПЗ=0,1177)</t>
  </si>
  <si>
    <t>100 м3 строительного объема здания</t>
  </si>
  <si>
    <t>Инженерные обследования строительных конструкций многоэтажных зданий I категории сложности, категория сложности работ 2, высота здания до 15 м</t>
  </si>
  <si>
    <t>СБЦ99-4-1-2-10
"Обмерные работы и обследования зданий (1998г.)"</t>
  </si>
  <si>
    <t>1,1*0,75*0,034</t>
  </si>
  <si>
    <t>(11 Сейсмичность 7 баллов ПЗ=1,1;
2.11 При выполнении работ с использованием и сверкой имеющихся чертежей и выдачей скорректированных чертежей заказчику ПЗ=0,75;
СБЦП 3,4%-кровля (таблица 9, п. 10) ПЗ=0,034 (ОЗП=0,034; ЭМ=0,034 к расх.; ЗПМ=0,034; МАТ=0,034 к расх.; ТЗ=0,034; ТЗМ=0,034))</t>
  </si>
  <si>
    <t>Итого по разделу 1 Обмерные работы и обследовательские работы</t>
  </si>
  <si>
    <t>Раздел 2. Проектные работы</t>
  </si>
  <si>
    <t>Жилые дома: пятиэтажные</t>
  </si>
  <si>
    <t>СБЦП05-1-1-5-А
/Таблица: СБЦП05-1-1-5 параметр: А/ "Кап. ремонт зданий и сооружений жилищно-гражд. назн. (2012 г.)"</t>
  </si>
  <si>
    <t>0,021*1,1*0,8</t>
  </si>
  <si>
    <t>(Таб.12 п.7 Ремонт (замена) кровли и ограждающих конструкций: здания каркасные многоэтажные - 2,1% ПЗ=0,021;
Таб.11 п.4 Сейсмичность 7 баллов ПЗ=1,1;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ПЗ=0,8)</t>
  </si>
  <si>
    <t>объект</t>
  </si>
  <si>
    <t>СБЦП05-1-1-5-Б
/Таблица: СБЦП05-1-1-5 параметр: Б/ "Кап. ремонт зданий и сооружений жилищно-гражд. назн. (2012 г.)"</t>
  </si>
  <si>
    <t>1,1*0,021*0,8</t>
  </si>
  <si>
    <t>(Таб.11 п.4 Сейсмичность 7 баллов ПЗ=1,1;
Таб.12 п.7 Ремонт (замена) кровли и ограждающих конструкций: здания каркасные многоэтажные - 2,1% ПЗ=0,021;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ПЗ=0,8)</t>
  </si>
  <si>
    <t>м3</t>
  </si>
  <si>
    <t>ПОС</t>
  </si>
  <si>
    <t>0,021*1,1*0,04*0,8</t>
  </si>
  <si>
    <t>(Таб.12 п.7 Ремонт (замена) кровли и ограждающих конструкций: здания каркасные многоэтажные - 2,1% ПЗ=0,021;
Таб.11 п.4 Сейсмичность 7 баллов ПЗ=1,1;
Таб.12 п.18 Проект организации строительства (ПОС): здания бескаркасные многоэтажные - 4,0% ПЗ=0,04;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ПЗ=0,8)</t>
  </si>
  <si>
    <t>1,1*0,021*0,04*0,8</t>
  </si>
  <si>
    <t>(Таб.11 п.4 Сейсмичность 7 баллов ПЗ=1,1;
Таб.12 п.7 Ремонт (замена) кровли и ограждающих конструкций: здания каркасные многоэтажные - 2,1% ПЗ=0,021;
Таб.12 п.18 Проект организации строительства (ПОС): здания бескаркасные многоэтажные - 4,0% ПЗ=0,04;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ПЗ=0,8)</t>
  </si>
  <si>
    <t>Сметная стоимость</t>
  </si>
  <si>
    <t>0,021*1,1*0,05*0,8</t>
  </si>
  <si>
    <t>(Таб.12 п.7 Ремонт (замена) кровли и ограждающих конструкций: здания каркасные многоэтажные - 2,1% ПЗ=0,021;
Таб.11 п.4 Сейсмичность 7 баллов ПЗ=1,1;
Таб.12 п.19 Сметная документация: здания бескаркасные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ПЗ=0,8)</t>
  </si>
  <si>
    <t>1,1*0,021*0,05*0,8</t>
  </si>
  <si>
    <t>(Таб.11 п.4 Сейсмичность 7 баллов ПЗ=1,1;
Таб.12 п.7 Ремонт (замена) кровли и ограждающих конструкций: здания каркасные многоэтажные - 2,1% ПЗ=0,021;
Таб.12 п.19 Сметная документация: здания бескаркасные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ПЗ=0,8)</t>
  </si>
  <si>
    <t>Итого по разделу 2 Проектные работы</t>
  </si>
  <si>
    <t>Итого прямые затраты по смете в ценах 2001г.</t>
  </si>
  <si>
    <t>Итоги по смете:</t>
  </si>
  <si>
    <t xml:space="preserve">  Итого Поз. 1-2 "Обмерные и инженерное обследование (приложение 3 к письму Минстроя Росси от 19.02.2016 №4688-ХМ/05) СМР=30,17"</t>
  </si>
  <si>
    <t xml:space="preserve">  Итого Поз. 3-8 "Проектные работы (приложение 3 к письму Минстроя Росси от 19.02.2016 №4688-ХМ/05) СМР=3,92"</t>
  </si>
  <si>
    <t xml:space="preserve">  Итого</t>
  </si>
  <si>
    <t xml:space="preserve">    Справочно, в ценах 2001г.:</t>
  </si>
  <si>
    <t xml:space="preserve">      Машины и механизмы</t>
  </si>
  <si>
    <t xml:space="preserve">  НДС 18%</t>
  </si>
  <si>
    <t xml:space="preserve">  ВСЕГО по смете</t>
  </si>
  <si>
    <t xml:space="preserve">                                                                     УТВЕРЖДЕНО:</t>
  </si>
  <si>
    <t>Наименование организации заказчика      НО "Хабаровский краевой фонд капитального ремонта"</t>
  </si>
  <si>
    <t>Количество</t>
  </si>
  <si>
    <t>Обоснование</t>
  </si>
  <si>
    <t>Единица измерения</t>
  </si>
  <si>
    <t>Наименование  объекта:  5-и этажный жилой дом по адресу: Хабаровский край, Солнечный МР, п. Солнечный, ул. Парковая, д.9</t>
  </si>
  <si>
    <t>Год постройки      1970</t>
  </si>
  <si>
    <t>Объем здания, м3               25922</t>
  </si>
  <si>
    <t>Здание жилое                     5 этажей      6 подъездов</t>
  </si>
  <si>
    <t xml:space="preserve">                (должность, подпись, расшифровка)</t>
  </si>
  <si>
    <t xml:space="preserve">           (должность, подпись, расшифровка)</t>
  </si>
  <si>
    <t xml:space="preserve">Директор НО "Хабаровский краевой фонд  капитального ремонта" </t>
  </si>
  <si>
    <t>____________________________А.В.Сидорова</t>
  </si>
  <si>
    <t>" _____ " ________________ 2017 г.</t>
  </si>
  <si>
    <t>Составил: главный специалист СО НО "Хабаровский краевой фонд капитального ремонта"/___________/Е.Ю. Корниенко</t>
  </si>
  <si>
    <r>
      <t xml:space="preserve">                                           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>/_____________Е.С. Сорокина</t>
    </r>
  </si>
  <si>
    <t>СМЕТА</t>
  </si>
  <si>
    <t>Вид проектных или изыскательских работ:   На разработку проектной документации на капитальный ремонт крыши МКД по адресу: Хабаровский край, Солнечный МР, п. Солнечный, ул. Парковая, д.9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</si>
</sst>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i/>
      <sz val="10"/>
      <name val="Arial Cyr"/>
      <charset val="204"/>
    </font>
    <font>
      <sz val="8"/>
      <color rgb="FF000000"/>
      <name val="Arial Cy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Arial"/>
      <family val="2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3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21" applyFont="1" applyBorder="1">
      <alignment horizontal="center"/>
    </xf>
    <xf numFmtId="0" fontId="8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  <xf numFmtId="10" fontId="8" fillId="0" borderId="3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9" fillId="0" borderId="3" xfId="0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2" fontId="9" fillId="0" borderId="1" xfId="5" applyNumberFormat="1" applyFont="1" applyBorder="1" applyAlignment="1">
      <alignment horizontal="right" vertical="top" wrapText="1"/>
    </xf>
    <xf numFmtId="0" fontId="17" fillId="0" borderId="0" xfId="0" applyFont="1" applyAlignment="1">
      <alignment vertical="top"/>
    </xf>
    <xf numFmtId="0" fontId="18" fillId="0" borderId="0" xfId="0" applyFont="1"/>
    <xf numFmtId="0" fontId="11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/>
    </xf>
    <xf numFmtId="0" fontId="18" fillId="0" borderId="0" xfId="0" applyFont="1" applyAlignment="1"/>
    <xf numFmtId="0" fontId="20" fillId="0" borderId="0" xfId="0" applyFont="1"/>
    <xf numFmtId="0" fontId="18" fillId="0" borderId="0" xfId="0" applyFont="1" applyAlignment="1">
      <alignment horizontal="center" vertical="top" wrapText="1"/>
    </xf>
    <xf numFmtId="49" fontId="18" fillId="0" borderId="0" xfId="0" applyNumberFormat="1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right" vertical="top" wrapText="1"/>
    </xf>
    <xf numFmtId="49" fontId="17" fillId="0" borderId="0" xfId="0" applyNumberFormat="1" applyFont="1" applyAlignment="1">
      <alignment vertical="top"/>
    </xf>
    <xf numFmtId="0" fontId="1" fillId="0" borderId="0" xfId="0" applyFont="1"/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center" vertical="top" wrapText="1"/>
    </xf>
    <xf numFmtId="0" fontId="11" fillId="0" borderId="0" xfId="0" applyFont="1" applyAlignment="1"/>
    <xf numFmtId="0" fontId="19" fillId="0" borderId="0" xfId="0" applyFont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8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9" fillId="0" borderId="1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8" fillId="0" borderId="0" xfId="21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wrapText="1"/>
    </xf>
    <xf numFmtId="0" fontId="18" fillId="0" borderId="0" xfId="0" applyFont="1" applyAlignment="1"/>
    <xf numFmtId="0" fontId="7" fillId="0" borderId="0" xfId="21" applyFo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0" fillId="0" borderId="0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wrapText="1"/>
    </xf>
    <xf numFmtId="0" fontId="17" fillId="0" borderId="0" xfId="0" applyFont="1" applyAlignment="1">
      <alignment horizontal="right" vertical="top"/>
    </xf>
    <xf numFmtId="0" fontId="18" fillId="0" borderId="0" xfId="0" applyFont="1" applyAlignment="1">
      <alignment horizontal="right" vertical="top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18</xdr:row>
          <xdr:rowOff>895350</xdr:rowOff>
        </xdr:from>
        <xdr:to>
          <xdr:col>1</xdr:col>
          <xdr:colOff>1152525</xdr:colOff>
          <xdr:row>18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18</xdr:row>
          <xdr:rowOff>895350</xdr:rowOff>
        </xdr:from>
        <xdr:to>
          <xdr:col>1</xdr:col>
          <xdr:colOff>1152525</xdr:colOff>
          <xdr:row>18</xdr:row>
          <xdr:rowOff>1085850</xdr:rowOff>
        </xdr:to>
        <xdr:sp macro="" textlink="">
          <xdr:nvSpPr>
            <xdr:cNvPr id="1074" name="Butto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18</xdr:row>
          <xdr:rowOff>895350</xdr:rowOff>
        </xdr:from>
        <xdr:to>
          <xdr:col>1</xdr:col>
          <xdr:colOff>1152525</xdr:colOff>
          <xdr:row>18</xdr:row>
          <xdr:rowOff>1085850</xdr:rowOff>
        </xdr:to>
        <xdr:sp macro="" textlink="">
          <xdr:nvSpPr>
            <xdr:cNvPr id="1075" name="Butto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18</xdr:row>
          <xdr:rowOff>895350</xdr:rowOff>
        </xdr:from>
        <xdr:to>
          <xdr:col>1</xdr:col>
          <xdr:colOff>1152525</xdr:colOff>
          <xdr:row>18</xdr:row>
          <xdr:rowOff>1085850</xdr:rowOff>
        </xdr:to>
        <xdr:sp macro="" textlink="">
          <xdr:nvSpPr>
            <xdr:cNvPr id="1076" name="Button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18</xdr:row>
          <xdr:rowOff>895350</xdr:rowOff>
        </xdr:from>
        <xdr:to>
          <xdr:col>1</xdr:col>
          <xdr:colOff>1152525</xdr:colOff>
          <xdr:row>18</xdr:row>
          <xdr:rowOff>1085850</xdr:rowOff>
        </xdr:to>
        <xdr:sp macro="" textlink="">
          <xdr:nvSpPr>
            <xdr:cNvPr id="1077" name="Button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nienko_ey\Desktop\&#1057;&#1084;&#1077;&#1090;&#1099;%20&#1085;&#1072;%20&#1087;&#1088;&#1086;&#1077;&#1082;&#1090;&#1085;&#1099;&#1077;%20&#1088;&#1072;&#1073;&#1086;&#1090;&#1099;\&#1087;.%20&#1057;&#1086;&#1083;&#1085;&#1077;&#1095;&#1085;&#1099;&#1081;\&#1053;&#1072;%20&#1082;&#1086;&#1085;&#1082;&#1091;&#1088;&#1089;\&#1091;&#1083;.%20&#1051;&#1077;&#1085;&#1080;&#1085;&#1072;,%20&#1076;.2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ienko_ey/Desktop/&#1057;&#1084;&#1077;&#1090;&#1099;%20&#1085;&#1072;%20&#1087;&#1088;&#1086;&#1077;&#1082;&#1090;&#1085;&#1099;&#1077;%20&#1088;&#1072;&#1073;&#1086;&#1090;&#1099;/&#1075;.%20&#1050;&#1086;&#1084;&#1089;&#1086;&#1084;&#1086;&#1083;&#1100;&#1089;&#1082;-&#1085;&#1072;-&#1040;&#1084;&#1091;&#1088;&#1077;/&#1059;&#1087;&#1088;&#1072;&#1074;&#1076;&#1086;&#1084;/&#1055;&#1077;&#1088;&#1077;&#1091;&#1089;&#1090;&#1088;&#1086;&#1081;&#1089;&#1090;&#1074;&#1086;%20&#1082;&#1088;&#1086;&#1074;&#1083;&#1080;/&#1091;&#1083;.%20&#1050;&#1086;&#1087;&#1099;&#1083;&#1086;&#1074;&#1072;,%20&#1076;.45%20-%20&#1087;&#1077;&#1088;&#1077;&#1091;&#1089;&#1090;&#1088;&#1086;&#1081;&#1089;&#1090;&#1074;&#1086;%20&#1082;&#1088;&#1086;&#1074;&#1083;&#108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ienko_ey/Desktop/&#1057;&#1084;&#1077;&#1090;&#1099;%20&#1085;&#1072;%20&#1087;&#1088;&#1086;&#1077;&#1082;&#1090;&#1085;&#1099;&#1077;%20&#1088;&#1072;&#1073;&#1086;&#1090;&#1099;/&#1089;.%20&#1050;&#1088;&#1072;&#1089;&#1085;&#1086;&#1077;,%20&#1053;&#1080;&#1082;&#1086;&#1083;&#1072;&#1077;&#1074;&#1089;&#1082;&#1080;&#1081;%20&#1052;&#1056;/&#1091;&#1083;.%20&#1057;&#1077;&#1074;&#1077;&#1088;&#1085;&#1072;&#1103;,%20&#1076;.1%20-%20&#1050;&#1088;&#1086;&#1074;&#1083;&#110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ienko_ey/Desktop/&#1057;&#1084;&#1077;&#1090;&#1099;%20&#1085;&#1072;%20&#1087;&#1088;&#1086;&#1077;&#1082;&#1090;&#1085;&#1099;&#1077;%20&#1088;&#1072;&#1073;&#1086;&#1090;&#1099;/&#1075;.%20&#1050;&#1086;&#1084;&#1089;&#1086;&#1084;&#1086;&#1083;&#1100;&#1089;&#1082;-&#1085;&#1072;-&#1040;&#1084;&#1091;&#1088;&#1077;/&#1059;&#1087;&#1088;&#1072;&#1074;&#1076;&#1086;&#1084;/&#1056;&#1091;&#1083;&#1086;&#1085;&#1085;&#1072;&#1103;%20&#1082;&#1088;&#1086;&#1074;&#1083;&#1103;/&#1050;&#1088;&#1086;&#1074;&#1083;&#1103;_&#1088;&#1091;&#1083;&#1086;&#1085;&#1085;&#1072;&#1103;_-%20&#1084;&#1082;&#1088;.%20&#1044;&#1088;&#1091;&#1078;&#1073;&#1072;,%20&#1076;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ул. Ленина, д.28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ул. Копылова, д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ул. Северная, д.1 - Кровля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Кровля_рулонная_- мкр"/>
    </sheetNames>
    <definedNames>
      <definedName name="Лист1.CollapseRows"/>
    </defined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51"/>
  <sheetViews>
    <sheetView showGridLines="0" tabSelected="1" topLeftCell="A46" zoomScale="120" zoomScaleNormal="120" workbookViewId="0">
      <selection activeCell="K18" sqref="K18:K19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5" width="22.140625" style="1" customWidth="1"/>
    <col min="6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10" customWidth="1"/>
    <col min="28" max="16384" width="9.140625" style="1"/>
  </cols>
  <sheetData>
    <row r="1" spans="1:16" x14ac:dyDescent="0.2">
      <c r="A1" s="70"/>
      <c r="B1" s="70"/>
      <c r="C1" s="70"/>
      <c r="D1" s="70"/>
      <c r="E1"/>
      <c r="F1"/>
      <c r="G1"/>
      <c r="H1"/>
      <c r="I1"/>
      <c r="J1"/>
      <c r="K1"/>
      <c r="L1"/>
      <c r="M1"/>
      <c r="N1"/>
      <c r="O1"/>
      <c r="P1" s="9" t="s">
        <v>4</v>
      </c>
    </row>
    <row r="2" spans="1:16" ht="12.75" customHeight="1" x14ac:dyDescent="0.2">
      <c r="A2" s="26"/>
      <c r="B2" s="40"/>
      <c r="C2" s="27"/>
      <c r="D2" s="28"/>
      <c r="E2" s="28"/>
      <c r="F2" s="27"/>
      <c r="G2" s="29" t="s">
        <v>4</v>
      </c>
      <c r="H2" s="27"/>
      <c r="I2" s="27"/>
      <c r="J2" s="28"/>
      <c r="K2" s="71" t="s">
        <v>53</v>
      </c>
      <c r="L2" s="71"/>
      <c r="M2" s="71"/>
      <c r="N2" s="71"/>
      <c r="O2" s="71"/>
      <c r="P2" s="71"/>
    </row>
    <row r="3" spans="1:16" x14ac:dyDescent="0.2">
      <c r="A3" s="41"/>
      <c r="B3" s="41"/>
      <c r="C3" s="27"/>
      <c r="D3" s="28"/>
      <c r="E3" s="42"/>
      <c r="F3" s="27"/>
      <c r="G3" s="27"/>
      <c r="H3" s="27"/>
      <c r="I3" s="27"/>
      <c r="J3" s="28"/>
      <c r="K3" s="72" t="s">
        <v>64</v>
      </c>
      <c r="L3" s="72"/>
      <c r="M3" s="72"/>
      <c r="N3" s="72"/>
      <c r="O3" s="72"/>
      <c r="P3" s="72"/>
    </row>
    <row r="4" spans="1:16" x14ac:dyDescent="0.2">
      <c r="A4" s="41"/>
      <c r="B4" s="41"/>
      <c r="C4" s="27"/>
      <c r="D4" s="28"/>
      <c r="E4" s="43"/>
      <c r="F4" s="27"/>
      <c r="G4" s="27"/>
      <c r="H4" s="27"/>
      <c r="I4" s="27"/>
      <c r="J4" s="28"/>
      <c r="K4" s="41"/>
      <c r="L4" s="29"/>
      <c r="M4" s="43"/>
      <c r="N4" s="43"/>
      <c r="O4" s="43"/>
      <c r="P4" s="31"/>
    </row>
    <row r="5" spans="1:16" x14ac:dyDescent="0.2">
      <c r="A5" s="41"/>
      <c r="B5" s="41"/>
      <c r="C5" s="27"/>
      <c r="D5" s="43"/>
      <c r="E5" s="27"/>
      <c r="F5" s="27"/>
      <c r="G5" s="27"/>
      <c r="H5" s="27"/>
      <c r="I5" s="27"/>
      <c r="J5" s="28"/>
      <c r="K5" s="41"/>
      <c r="L5" s="29"/>
      <c r="M5" s="28"/>
      <c r="N5" s="28"/>
      <c r="O5" s="28"/>
      <c r="P5" s="31" t="s">
        <v>65</v>
      </c>
    </row>
    <row r="6" spans="1:16" x14ac:dyDescent="0.2">
      <c r="A6" s="41"/>
      <c r="B6" s="41"/>
      <c r="C6" s="27"/>
      <c r="D6" s="30"/>
      <c r="E6" s="27"/>
      <c r="F6" s="27"/>
      <c r="G6" s="27"/>
      <c r="H6" s="27"/>
      <c r="I6" s="27"/>
      <c r="J6" s="28"/>
      <c r="K6" s="41"/>
      <c r="L6" s="29"/>
      <c r="M6" s="28"/>
      <c r="N6" s="28"/>
      <c r="O6" s="28"/>
      <c r="P6" s="31" t="s">
        <v>66</v>
      </c>
    </row>
    <row r="7" spans="1:16" x14ac:dyDescent="0.2">
      <c r="A7" s="52"/>
      <c r="B7" s="52"/>
      <c r="C7" s="52"/>
      <c r="D7" s="52"/>
    </row>
    <row r="8" spans="1:16" ht="15.75" x14ac:dyDescent="0.25">
      <c r="A8" s="57" t="s">
        <v>69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x14ac:dyDescent="0.2">
      <c r="A9" s="53" t="s">
        <v>1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">
      <c r="A11" s="54" t="s">
        <v>58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28"/>
      <c r="M11" s="28"/>
      <c r="N11" s="28"/>
      <c r="O11" s="28"/>
      <c r="P11" s="28"/>
    </row>
    <row r="12" spans="1:16" x14ac:dyDescent="0.2">
      <c r="A12" s="55" t="s">
        <v>59</v>
      </c>
      <c r="B12" s="55"/>
      <c r="C12" s="32"/>
      <c r="D12" s="33"/>
      <c r="E12" s="27"/>
      <c r="F12" s="27"/>
      <c r="G12" s="27"/>
      <c r="H12" s="27"/>
      <c r="I12" s="27"/>
      <c r="J12" s="28"/>
      <c r="K12" s="28"/>
      <c r="L12" s="28"/>
      <c r="M12" s="28"/>
      <c r="N12" s="28"/>
      <c r="O12" s="28"/>
      <c r="P12" s="28"/>
    </row>
    <row r="13" spans="1:16" x14ac:dyDescent="0.2">
      <c r="A13" s="56" t="s">
        <v>60</v>
      </c>
      <c r="B13" s="56"/>
      <c r="C13" s="32"/>
      <c r="D13" s="33"/>
      <c r="E13" s="27"/>
      <c r="F13" s="27"/>
      <c r="G13" s="27"/>
      <c r="H13" s="27"/>
      <c r="I13" s="27"/>
      <c r="J13" s="28"/>
      <c r="K13" s="28"/>
      <c r="L13" s="28"/>
      <c r="M13" s="28"/>
      <c r="N13" s="28"/>
      <c r="O13" s="28"/>
      <c r="P13" s="28"/>
    </row>
    <row r="14" spans="1:16" x14ac:dyDescent="0.2">
      <c r="A14" s="56" t="s">
        <v>61</v>
      </c>
      <c r="B14" s="56"/>
      <c r="C14" s="56"/>
      <c r="D14" s="34"/>
      <c r="E14" s="27"/>
      <c r="F14" s="27"/>
      <c r="G14" s="27"/>
      <c r="H14" s="27"/>
      <c r="I14" s="27"/>
      <c r="J14" s="28"/>
      <c r="K14" s="28"/>
      <c r="L14" s="28"/>
      <c r="M14" s="28"/>
      <c r="N14" s="28"/>
      <c r="O14" s="28"/>
      <c r="P14" s="28"/>
    </row>
    <row r="15" spans="1:16" x14ac:dyDescent="0.2">
      <c r="A15" s="54" t="s">
        <v>70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28"/>
      <c r="M15" s="28"/>
      <c r="N15" s="28"/>
      <c r="O15" s="28"/>
      <c r="P15" s="28"/>
    </row>
    <row r="16" spans="1:16" x14ac:dyDescent="0.2">
      <c r="A16" s="54" t="s">
        <v>54</v>
      </c>
      <c r="B16" s="54"/>
      <c r="C16" s="54"/>
      <c r="D16" s="54"/>
      <c r="E16" s="54"/>
      <c r="F16" s="54"/>
      <c r="G16" s="27"/>
      <c r="H16" s="27"/>
      <c r="I16" s="27"/>
      <c r="J16" s="28"/>
      <c r="K16" s="28"/>
      <c r="L16" s="28"/>
      <c r="M16" s="28"/>
      <c r="N16" s="28"/>
      <c r="O16" s="28"/>
      <c r="P16" s="28"/>
    </row>
    <row r="17" spans="1:27" x14ac:dyDescent="0.2">
      <c r="A17" s="2"/>
      <c r="B17" s="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4"/>
    </row>
    <row r="18" spans="1:27" s="6" customFormat="1" ht="22.5" customHeight="1" x14ac:dyDescent="0.2">
      <c r="A18" s="58" t="s">
        <v>0</v>
      </c>
      <c r="B18" s="58" t="s">
        <v>2</v>
      </c>
      <c r="C18" s="58" t="s">
        <v>3</v>
      </c>
      <c r="D18" s="58" t="s">
        <v>5</v>
      </c>
      <c r="E18" s="58" t="s">
        <v>55</v>
      </c>
      <c r="F18" s="5"/>
      <c r="G18" s="5"/>
      <c r="H18" s="5"/>
      <c r="I18" s="5"/>
      <c r="J18" s="5"/>
      <c r="K18" s="58" t="s">
        <v>56</v>
      </c>
      <c r="L18" s="5"/>
      <c r="M18" s="58" t="s">
        <v>57</v>
      </c>
      <c r="N18" s="64" t="s">
        <v>9</v>
      </c>
      <c r="O18" s="65"/>
      <c r="P18" s="66"/>
    </row>
    <row r="19" spans="1:27" s="6" customFormat="1" ht="87.75" customHeight="1" x14ac:dyDescent="0.2">
      <c r="A19" s="59"/>
      <c r="B19" s="59"/>
      <c r="C19" s="59"/>
      <c r="D19" s="59"/>
      <c r="E19" s="59"/>
      <c r="F19" s="5"/>
      <c r="G19" s="5"/>
      <c r="H19" s="5"/>
      <c r="I19" s="5"/>
      <c r="J19" s="5"/>
      <c r="K19" s="59"/>
      <c r="L19" s="5"/>
      <c r="M19" s="59"/>
      <c r="N19" s="11" t="s">
        <v>6</v>
      </c>
      <c r="O19" s="11" t="s">
        <v>7</v>
      </c>
      <c r="P19" s="11" t="s">
        <v>8</v>
      </c>
    </row>
    <row r="20" spans="1:27" x14ac:dyDescent="0.2">
      <c r="A20" s="12">
        <v>1</v>
      </c>
      <c r="B20" s="12">
        <v>2</v>
      </c>
      <c r="C20" s="12">
        <v>3</v>
      </c>
      <c r="D20" s="12">
        <v>4</v>
      </c>
      <c r="E20" s="12">
        <v>5</v>
      </c>
      <c r="F20" s="12"/>
      <c r="G20" s="12"/>
      <c r="H20" s="12"/>
      <c r="I20" s="12"/>
      <c r="J20" s="12"/>
      <c r="K20" s="12">
        <v>6</v>
      </c>
      <c r="L20" s="12"/>
      <c r="M20" s="12">
        <v>7</v>
      </c>
      <c r="N20" s="12">
        <v>5</v>
      </c>
      <c r="O20" s="12">
        <v>6</v>
      </c>
      <c r="P20" s="12">
        <v>8</v>
      </c>
    </row>
    <row r="21" spans="1:27" s="7" customFormat="1" ht="21" customHeight="1" x14ac:dyDescent="0.2">
      <c r="A21" s="60" t="s">
        <v>10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</row>
    <row r="22" spans="1:27" s="8" customFormat="1" ht="63.75" x14ac:dyDescent="0.2">
      <c r="A22" s="13">
        <v>1</v>
      </c>
      <c r="B22" s="14" t="s">
        <v>11</v>
      </c>
      <c r="C22" s="14" t="s">
        <v>12</v>
      </c>
      <c r="D22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(25922 / 100) * 20.99 * 1,1*0,75*0,1177</v>
      </c>
      <c r="E22" s="16">
        <f>IF( 259.22 = "","0",259.22)</f>
        <v>259.22000000000003</v>
      </c>
      <c r="F22" s="16" t="str">
        <f ca="1">IF(INDIRECT("J" &amp; ROW())="текущие цены", IF(INDIRECT("G" &amp; ROW())="", "0", "0"), IF(INDIRECT("G" &amp; ROW())="", "2.04","20.99"))</f>
        <v>20.99</v>
      </c>
      <c r="G22" s="16" t="s">
        <v>13</v>
      </c>
      <c r="H22" s="16" t="s">
        <v>14</v>
      </c>
      <c r="I22" s="16"/>
      <c r="J22" s="16" t="s">
        <v>15</v>
      </c>
      <c r="K22" s="16" t="s">
        <v>16</v>
      </c>
      <c r="L22" s="16">
        <v>1</v>
      </c>
      <c r="M22" s="16" t="s">
        <v>17</v>
      </c>
      <c r="N22" s="17">
        <f ca="1">IF(ISNUMBER(INDIRECT("P" &amp; ROW())), INDIRECT("P" &amp; ROW())*0.4, " ")</f>
        <v>211.60000000000002</v>
      </c>
      <c r="O22" s="17">
        <f ca="1">IF(ISNUMBER(INDIRECT("P" &amp; ROW())), INDIRECT("P" &amp; ROW())*0.6, " ")</f>
        <v>317.39999999999998</v>
      </c>
      <c r="P22" s="17">
        <f ca="1">IF(INDIRECT("J" &amp; ROW())="текущие цены", 0, 529)</f>
        <v>529</v>
      </c>
      <c r="Q22" s="7"/>
      <c r="R22" s="7"/>
      <c r="S22" s="7"/>
      <c r="T22" s="7"/>
      <c r="U22" s="7"/>
      <c r="AA22" s="7"/>
    </row>
    <row r="23" spans="1:27" ht="65.25" customHeight="1" x14ac:dyDescent="0.2">
      <c r="A23" s="18">
        <v>2</v>
      </c>
      <c r="B23" s="19" t="s">
        <v>18</v>
      </c>
      <c r="C23" s="19" t="s">
        <v>19</v>
      </c>
      <c r="D23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(25922 / 100) * 21.23 * 1,1*0,75*0,034</v>
      </c>
      <c r="E23" s="21">
        <f>IF( 259.22 = "","0",259.22)</f>
        <v>259.22000000000003</v>
      </c>
      <c r="F23" s="21" t="str">
        <f ca="1">IF(INDIRECT("J" &amp; ROW())="текущие цены", IF(INDIRECT("G" &amp; ROW())="", "0", "0"), IF(INDIRECT("G" &amp; ROW())="", "0.6","21.23"))</f>
        <v>21.23</v>
      </c>
      <c r="G23" s="21" t="s">
        <v>20</v>
      </c>
      <c r="H23" s="21" t="s">
        <v>14</v>
      </c>
      <c r="I23" s="21"/>
      <c r="J23" s="21" t="s">
        <v>15</v>
      </c>
      <c r="K23" s="21" t="s">
        <v>21</v>
      </c>
      <c r="L23" s="21">
        <v>1</v>
      </c>
      <c r="M23" s="21" t="s">
        <v>17</v>
      </c>
      <c r="N23" s="22">
        <f ca="1">IF(ISNUMBER(INDIRECT("P" &amp; ROW())), INDIRECT("P" &amp; ROW())*0.4, " ")</f>
        <v>62.400000000000006</v>
      </c>
      <c r="O23" s="22">
        <f ca="1">IF(ISNUMBER(INDIRECT("P" &amp; ROW())), INDIRECT("P" &amp; ROW())*0.6, " ")</f>
        <v>93.6</v>
      </c>
      <c r="P23" s="22">
        <f ca="1">IF(INDIRECT("J" &amp; ROW())="текущие цены", 0, 156)</f>
        <v>156</v>
      </c>
      <c r="Q23" s="7"/>
      <c r="R23" s="7"/>
      <c r="S23" s="7"/>
      <c r="T23" s="7"/>
      <c r="U23" s="7"/>
    </row>
    <row r="24" spans="1:27" ht="16.5" customHeight="1" x14ac:dyDescent="0.2">
      <c r="A24" s="62" t="s">
        <v>22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23">
        <f ca="1">IF(ISNUMBER(INDIRECT("P" &amp; ROW())), INDIRECT("P" &amp; ROW()) * 0.4, " ")</f>
        <v>8266.4</v>
      </c>
      <c r="O24" s="23">
        <f ca="1">IF(ISNUMBER(INDIRECT("P" &amp; ROW())), INDIRECT("P" &amp; ROW()) * 0.6, " ")</f>
        <v>12399.6</v>
      </c>
      <c r="P24" s="23">
        <v>20666</v>
      </c>
      <c r="Q24" s="7"/>
      <c r="R24" s="7"/>
      <c r="S24" s="7"/>
      <c r="T24" s="7"/>
      <c r="U24" s="7"/>
    </row>
    <row r="25" spans="1:27" ht="21" customHeight="1" x14ac:dyDescent="0.2">
      <c r="A25" s="60" t="s">
        <v>23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7"/>
      <c r="R25" s="7"/>
      <c r="S25" s="7"/>
      <c r="T25" s="7"/>
      <c r="U25" s="7"/>
    </row>
    <row r="26" spans="1:27" ht="76.5" x14ac:dyDescent="0.2">
      <c r="A26" s="13">
        <v>3</v>
      </c>
      <c r="B26" s="14" t="s">
        <v>24</v>
      </c>
      <c r="C26" s="14" t="s">
        <v>25</v>
      </c>
      <c r="D26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0,021*1,1*0,8</v>
      </c>
      <c r="E26" s="16">
        <f>IF( 1 = "","0",1)</f>
        <v>1</v>
      </c>
      <c r="F26" s="16" t="str">
        <f ca="1">IF(INDIRECT("J" &amp; ROW())="текущие цены", IF(INDIRECT("G" &amp; ROW())="", "0", "0"), IF(INDIRECT("G" &amp; ROW())="", "5082","275000"))</f>
        <v>275000</v>
      </c>
      <c r="G26" s="16" t="s">
        <v>26</v>
      </c>
      <c r="H26" s="16"/>
      <c r="I26" s="16"/>
      <c r="J26" s="16" t="s">
        <v>15</v>
      </c>
      <c r="K26" s="16" t="s">
        <v>27</v>
      </c>
      <c r="L26" s="16">
        <v>2</v>
      </c>
      <c r="M26" s="16" t="s">
        <v>28</v>
      </c>
      <c r="N26" s="17">
        <f ca="1">IF(ISNUMBER(INDIRECT("P" &amp; ROW())), INDIRECT("P" &amp; ROW())*0.4, " ")</f>
        <v>2032.8000000000002</v>
      </c>
      <c r="O26" s="17">
        <f ca="1">IF(ISNUMBER(INDIRECT("P" &amp; ROW())), INDIRECT("P" &amp; ROW())*0.6, " ")</f>
        <v>3049.2</v>
      </c>
      <c r="P26" s="17">
        <f ca="1">IF(INDIRECT("J" &amp; ROW())="текущие цены", 0, 5082)</f>
        <v>5082</v>
      </c>
      <c r="Q26" s="7"/>
      <c r="R26" s="7"/>
      <c r="S26" s="7"/>
      <c r="T26" s="7"/>
      <c r="U26" s="7"/>
    </row>
    <row r="27" spans="1:27" ht="76.5" x14ac:dyDescent="0.2">
      <c r="A27" s="13">
        <v>4</v>
      </c>
      <c r="B27" s="14" t="s">
        <v>24</v>
      </c>
      <c r="C27" s="14" t="s">
        <v>29</v>
      </c>
      <c r="D27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25922 * 6 * 1,1*0,021*0,8</v>
      </c>
      <c r="E27" s="16">
        <f>IF( 25922 = "","0",25922)</f>
        <v>25922</v>
      </c>
      <c r="F27" s="16" t="str">
        <f ca="1">IF(INDIRECT("J" &amp; ROW())="текущие цены", IF(INDIRECT("G" &amp; ROW())="", "0", "0"), IF(INDIRECT("G" &amp; ROW())="", "0.11","6"))</f>
        <v>6</v>
      </c>
      <c r="G27" s="16" t="s">
        <v>30</v>
      </c>
      <c r="H27" s="16"/>
      <c r="I27" s="16"/>
      <c r="J27" s="16" t="s">
        <v>15</v>
      </c>
      <c r="K27" s="16" t="s">
        <v>31</v>
      </c>
      <c r="L27" s="16">
        <v>2</v>
      </c>
      <c r="M27" s="16" t="s">
        <v>32</v>
      </c>
      <c r="N27" s="17">
        <f ca="1">IF(ISNUMBER(INDIRECT("P" &amp; ROW())), INDIRECT("P" &amp; ROW())*0.4, " ")</f>
        <v>1140.4000000000001</v>
      </c>
      <c r="O27" s="17">
        <f ca="1">IF(ISNUMBER(INDIRECT("P" &amp; ROW())), INDIRECT("P" &amp; ROW())*0.6, " ")</f>
        <v>1710.6</v>
      </c>
      <c r="P27" s="17">
        <f ca="1">IF(INDIRECT("J" &amp; ROW())="текущие цены", 0, 2851)</f>
        <v>2851</v>
      </c>
      <c r="Q27" s="7"/>
      <c r="R27" s="7"/>
      <c r="S27" s="7"/>
      <c r="T27" s="7"/>
      <c r="U27" s="7"/>
    </row>
    <row r="28" spans="1:27" ht="17.850000000000001" customHeight="1" x14ac:dyDescent="0.2">
      <c r="A28" s="67" t="s">
        <v>33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7"/>
      <c r="R28" s="7"/>
      <c r="S28" s="7"/>
      <c r="T28" s="7"/>
      <c r="U28" s="7"/>
    </row>
    <row r="29" spans="1:27" ht="102" x14ac:dyDescent="0.2">
      <c r="A29" s="13">
        <v>5</v>
      </c>
      <c r="B29" s="14" t="s">
        <v>24</v>
      </c>
      <c r="C29" s="14" t="s">
        <v>25</v>
      </c>
      <c r="D29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0,021*1,1*0,04*0,8</v>
      </c>
      <c r="E29" s="16">
        <f>IF( 1 = "","0",1)</f>
        <v>1</v>
      </c>
      <c r="F29" s="16" t="str">
        <f ca="1">IF(INDIRECT("J" &amp; ROW())="текущие цены", IF(INDIRECT("G" &amp; ROW())="", "0", "0"), IF(INDIRECT("G" &amp; ROW())="", "203.28","275000"))</f>
        <v>275000</v>
      </c>
      <c r="G29" s="16" t="s">
        <v>34</v>
      </c>
      <c r="H29" s="16"/>
      <c r="I29" s="16"/>
      <c r="J29" s="16" t="s">
        <v>15</v>
      </c>
      <c r="K29" s="16" t="s">
        <v>35</v>
      </c>
      <c r="L29" s="16">
        <v>2</v>
      </c>
      <c r="M29" s="16" t="s">
        <v>28</v>
      </c>
      <c r="N29" s="17">
        <f ca="1">IF(ISNUMBER(INDIRECT("P" &amp; ROW())), INDIRECT("P" &amp; ROW())*0.4, " ")</f>
        <v>81.2</v>
      </c>
      <c r="O29" s="17">
        <f ca="1">IF(ISNUMBER(INDIRECT("P" &amp; ROW())), INDIRECT("P" &amp; ROW())*0.6, " ")</f>
        <v>121.8</v>
      </c>
      <c r="P29" s="17">
        <f ca="1">IF(INDIRECT("J" &amp; ROW())="текущие цены", 0, 203)</f>
        <v>203</v>
      </c>
      <c r="Q29" s="7"/>
      <c r="R29" s="7"/>
      <c r="S29" s="7"/>
      <c r="T29" s="7"/>
      <c r="U29" s="7"/>
    </row>
    <row r="30" spans="1:27" ht="102" x14ac:dyDescent="0.2">
      <c r="A30" s="13">
        <v>6</v>
      </c>
      <c r="B30" s="14" t="s">
        <v>24</v>
      </c>
      <c r="C30" s="14" t="s">
        <v>29</v>
      </c>
      <c r="D30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25922 * 6 * 1,1*0,021*0,04*0,8</v>
      </c>
      <c r="E30" s="16">
        <f>IF( 25922 = "","0",25922)</f>
        <v>25922</v>
      </c>
      <c r="F30" s="16" t="str">
        <f ca="1">IF(INDIRECT("J" &amp; ROW())="текущие цены", IF(INDIRECT("G" &amp; ROW())="", "0", "0"), IF(INDIRECT("G" &amp; ROW())="", "0","6"))</f>
        <v>6</v>
      </c>
      <c r="G30" s="16" t="s">
        <v>36</v>
      </c>
      <c r="H30" s="16"/>
      <c r="I30" s="16"/>
      <c r="J30" s="16" t="s">
        <v>15</v>
      </c>
      <c r="K30" s="16" t="s">
        <v>37</v>
      </c>
      <c r="L30" s="16">
        <v>2</v>
      </c>
      <c r="M30" s="16" t="s">
        <v>32</v>
      </c>
      <c r="N30" s="17">
        <f ca="1">IF(ISNUMBER(INDIRECT("P" &amp; ROW())), INDIRECT("P" &amp; ROW())*0.4, " ")</f>
        <v>0</v>
      </c>
      <c r="O30" s="17">
        <f ca="1">IF(ISNUMBER(INDIRECT("P" &amp; ROW())), INDIRECT("P" &amp; ROW())*0.6, " ")</f>
        <v>0</v>
      </c>
      <c r="P30" s="17">
        <f ca="1">IF(INDIRECT("J" &amp; ROW())="текущие цены", 0, 0)</f>
        <v>0</v>
      </c>
      <c r="Q30" s="7"/>
      <c r="R30" s="7"/>
      <c r="S30" s="7"/>
      <c r="T30" s="7"/>
      <c r="U30" s="7"/>
    </row>
    <row r="31" spans="1:27" ht="17.850000000000001" customHeight="1" x14ac:dyDescent="0.2">
      <c r="A31" s="67" t="s">
        <v>38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7"/>
      <c r="R31" s="7"/>
      <c r="S31" s="7"/>
      <c r="T31" s="7"/>
      <c r="U31" s="7"/>
    </row>
    <row r="32" spans="1:27" ht="102" x14ac:dyDescent="0.2">
      <c r="A32" s="13">
        <v>7</v>
      </c>
      <c r="B32" s="14" t="s">
        <v>24</v>
      </c>
      <c r="C32" s="14" t="s">
        <v>25</v>
      </c>
      <c r="D32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0,021*1,1*0,05*0,8</v>
      </c>
      <c r="E32" s="16">
        <f>IF( 1 = "","0",1)</f>
        <v>1</v>
      </c>
      <c r="F32" s="16" t="str">
        <f ca="1">IF(INDIRECT("J" &amp; ROW())="текущие цены", IF(INDIRECT("G" &amp; ROW())="", "0", "0"), IF(INDIRECT("G" &amp; ROW())="", "254.1","275000"))</f>
        <v>275000</v>
      </c>
      <c r="G32" s="16" t="s">
        <v>39</v>
      </c>
      <c r="H32" s="16"/>
      <c r="I32" s="16"/>
      <c r="J32" s="16" t="s">
        <v>15</v>
      </c>
      <c r="K32" s="16" t="s">
        <v>40</v>
      </c>
      <c r="L32" s="16">
        <v>2</v>
      </c>
      <c r="M32" s="16" t="s">
        <v>28</v>
      </c>
      <c r="N32" s="17">
        <f ca="1">IF(ISNUMBER(INDIRECT("P" &amp; ROW())), INDIRECT("P" &amp; ROW())*0.4, " ")</f>
        <v>101.60000000000001</v>
      </c>
      <c r="O32" s="17">
        <f ca="1">IF(ISNUMBER(INDIRECT("P" &amp; ROW())), INDIRECT("P" &amp; ROW())*0.6, " ")</f>
        <v>152.4</v>
      </c>
      <c r="P32" s="17">
        <f ca="1">IF(INDIRECT("J" &amp; ROW())="текущие цены", 0, 254)</f>
        <v>254</v>
      </c>
      <c r="Q32" s="7"/>
      <c r="R32" s="7"/>
      <c r="S32" s="7"/>
      <c r="T32" s="7"/>
      <c r="U32" s="7"/>
    </row>
    <row r="33" spans="1:21" ht="102" x14ac:dyDescent="0.2">
      <c r="A33" s="18">
        <v>8</v>
      </c>
      <c r="B33" s="19" t="s">
        <v>24</v>
      </c>
      <c r="C33" s="19" t="s">
        <v>29</v>
      </c>
      <c r="D33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25922 * 6 * 1,1*0,021*0,05*0,8</v>
      </c>
      <c r="E33" s="21">
        <f>IF( 25922 = "","0",25922)</f>
        <v>25922</v>
      </c>
      <c r="F33" s="21" t="str">
        <f ca="1">IF(INDIRECT("J" &amp; ROW())="текущие цены", IF(INDIRECT("G" &amp; ROW())="", "0", "0"), IF(INDIRECT("G" &amp; ROW())="", "0.01","6"))</f>
        <v>6</v>
      </c>
      <c r="G33" s="21" t="s">
        <v>41</v>
      </c>
      <c r="H33" s="21"/>
      <c r="I33" s="21"/>
      <c r="J33" s="21" t="s">
        <v>15</v>
      </c>
      <c r="K33" s="21" t="s">
        <v>42</v>
      </c>
      <c r="L33" s="21">
        <v>2</v>
      </c>
      <c r="M33" s="21" t="s">
        <v>32</v>
      </c>
      <c r="N33" s="22">
        <f ca="1">IF(ISNUMBER(INDIRECT("P" &amp; ROW())), INDIRECT("P" &amp; ROW())*0.4, " ")</f>
        <v>103.60000000000001</v>
      </c>
      <c r="O33" s="22">
        <f ca="1">IF(ISNUMBER(INDIRECT("P" &amp; ROW())), INDIRECT("P" &amp; ROW())*0.6, " ")</f>
        <v>155.4</v>
      </c>
      <c r="P33" s="22">
        <f ca="1">IF(INDIRECT("J" &amp; ROW())="текущие цены", 0, 259)</f>
        <v>259</v>
      </c>
      <c r="Q33" s="7"/>
      <c r="R33" s="7"/>
      <c r="S33" s="7"/>
      <c r="T33" s="7"/>
      <c r="U33" s="7"/>
    </row>
    <row r="34" spans="1:21" x14ac:dyDescent="0.2">
      <c r="A34" s="62" t="s">
        <v>43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23">
        <f t="shared" ref="N34:N43" ca="1" si="0">IF(ISNUMBER(INDIRECT("P" &amp; ROW())), INDIRECT("P" &amp; ROW()) * 0.4, " ")</f>
        <v>13561.6</v>
      </c>
      <c r="O34" s="23">
        <f t="shared" ref="O34:O43" ca="1" si="1">IF(ISNUMBER(INDIRECT("P" &amp; ROW())), INDIRECT("P" &amp; ROW()) * 0.6, " ")</f>
        <v>20342.399999999998</v>
      </c>
      <c r="P34" s="23">
        <v>33904</v>
      </c>
      <c r="Q34" s="7"/>
      <c r="R34" s="7"/>
      <c r="S34" s="7"/>
      <c r="T34" s="7"/>
      <c r="U34" s="7"/>
    </row>
    <row r="35" spans="1:21" x14ac:dyDescent="0.2">
      <c r="A35" s="48" t="s">
        <v>44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24">
        <f t="shared" ca="1" si="0"/>
        <v>3733.6000000000004</v>
      </c>
      <c r="O35" s="24">
        <f t="shared" ca="1" si="1"/>
        <v>5600.4</v>
      </c>
      <c r="P35" s="24">
        <v>9334</v>
      </c>
      <c r="Q35" s="7"/>
      <c r="R35" s="7"/>
      <c r="S35" s="7"/>
      <c r="T35" s="7"/>
      <c r="U35" s="7"/>
    </row>
    <row r="36" spans="1:21" x14ac:dyDescent="0.2">
      <c r="A36" s="50" t="s">
        <v>45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25" t="str">
        <f t="shared" ca="1" si="0"/>
        <v xml:space="preserve"> </v>
      </c>
      <c r="O36" s="25" t="str">
        <f t="shared" ca="1" si="1"/>
        <v xml:space="preserve"> </v>
      </c>
      <c r="P36" s="25"/>
      <c r="Q36" s="7"/>
      <c r="R36" s="7"/>
      <c r="S36" s="7"/>
      <c r="T36" s="7"/>
      <c r="U36" s="7"/>
    </row>
    <row r="37" spans="1:21" ht="16.5" customHeight="1" x14ac:dyDescent="0.2">
      <c r="A37" s="48" t="s">
        <v>46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24">
        <f t="shared" ca="1" si="0"/>
        <v>8266.4</v>
      </c>
      <c r="O37" s="24">
        <f t="shared" ca="1" si="1"/>
        <v>12399.6</v>
      </c>
      <c r="P37" s="24">
        <v>20666</v>
      </c>
      <c r="Q37" s="7"/>
      <c r="R37" s="7"/>
      <c r="S37" s="7"/>
      <c r="T37" s="7"/>
      <c r="U37" s="7"/>
    </row>
    <row r="38" spans="1:21" ht="17.25" customHeight="1" x14ac:dyDescent="0.2">
      <c r="A38" s="48" t="s">
        <v>47</v>
      </c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24">
        <f t="shared" ca="1" si="0"/>
        <v>13561.6</v>
      </c>
      <c r="O38" s="24">
        <f t="shared" ca="1" si="1"/>
        <v>20342.399999999998</v>
      </c>
      <c r="P38" s="24">
        <v>33904</v>
      </c>
      <c r="Q38" s="7"/>
      <c r="R38" s="7"/>
      <c r="S38" s="7"/>
      <c r="T38" s="7"/>
      <c r="U38" s="7"/>
    </row>
    <row r="39" spans="1:21" x14ac:dyDescent="0.2">
      <c r="A39" s="48" t="s">
        <v>48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24">
        <f t="shared" ca="1" si="0"/>
        <v>21828</v>
      </c>
      <c r="O39" s="24">
        <f t="shared" ca="1" si="1"/>
        <v>32742</v>
      </c>
      <c r="P39" s="24">
        <v>54570</v>
      </c>
      <c r="Q39" s="7"/>
      <c r="R39" s="7"/>
      <c r="S39" s="7"/>
      <c r="T39" s="7"/>
      <c r="U39" s="7"/>
    </row>
    <row r="40" spans="1:21" x14ac:dyDescent="0.2">
      <c r="A40" s="48" t="s">
        <v>49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24" t="str">
        <f t="shared" ca="1" si="0"/>
        <v xml:space="preserve"> </v>
      </c>
      <c r="O40" s="24" t="str">
        <f t="shared" ca="1" si="1"/>
        <v xml:space="preserve"> </v>
      </c>
      <c r="P40" s="24"/>
      <c r="Q40" s="7"/>
      <c r="R40" s="7"/>
      <c r="S40" s="7"/>
      <c r="T40" s="7"/>
      <c r="U40" s="7"/>
    </row>
    <row r="41" spans="1:21" x14ac:dyDescent="0.2">
      <c r="A41" s="48" t="s">
        <v>50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24">
        <f t="shared" ca="1" si="0"/>
        <v>103.60000000000001</v>
      </c>
      <c r="O41" s="24">
        <f t="shared" ca="1" si="1"/>
        <v>155.4</v>
      </c>
      <c r="P41" s="24">
        <v>259</v>
      </c>
      <c r="Q41" s="7"/>
      <c r="R41" s="7"/>
      <c r="S41" s="7"/>
      <c r="T41" s="7"/>
      <c r="U41" s="7"/>
    </row>
    <row r="42" spans="1:21" x14ac:dyDescent="0.2">
      <c r="A42" s="48" t="s">
        <v>51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24">
        <f t="shared" ca="1" si="0"/>
        <v>3929.0400000000004</v>
      </c>
      <c r="O42" s="24">
        <f t="shared" ca="1" si="1"/>
        <v>5893.56</v>
      </c>
      <c r="P42" s="24">
        <v>9822.6</v>
      </c>
      <c r="Q42" s="7"/>
      <c r="R42" s="7"/>
      <c r="S42" s="7"/>
      <c r="T42" s="7"/>
      <c r="U42" s="7"/>
    </row>
    <row r="43" spans="1:21" x14ac:dyDescent="0.2">
      <c r="A43" s="50" t="s">
        <v>52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25">
        <f t="shared" ca="1" si="0"/>
        <v>25757.040000000001</v>
      </c>
      <c r="O43" s="25">
        <f t="shared" ca="1" si="1"/>
        <v>38635.56</v>
      </c>
      <c r="P43" s="25">
        <v>64392.6</v>
      </c>
      <c r="Q43" s="7"/>
      <c r="R43" s="7"/>
      <c r="S43" s="7"/>
      <c r="T43" s="7"/>
      <c r="U43" s="7"/>
    </row>
    <row r="44" spans="1:2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8"/>
      <c r="R44" s="8"/>
      <c r="S44" s="8"/>
      <c r="T44" s="8"/>
      <c r="U44" s="8"/>
    </row>
    <row r="45" spans="1:2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21" x14ac:dyDescent="0.2">
      <c r="A46" s="44" t="s">
        <v>67</v>
      </c>
      <c r="B46" s="44"/>
      <c r="C46" s="44"/>
      <c r="D46" s="44"/>
      <c r="E46" s="44"/>
      <c r="F46" s="44"/>
      <c r="G46" s="44"/>
      <c r="H46" s="45"/>
      <c r="I46" s="45"/>
      <c r="J46" s="45"/>
      <c r="K46" s="45"/>
      <c r="L46" s="45"/>
      <c r="M46" s="45"/>
      <c r="N46" s="45"/>
      <c r="O46" s="45"/>
      <c r="P46" s="45"/>
    </row>
    <row r="47" spans="1:21" x14ac:dyDescent="0.2">
      <c r="A47" s="46" t="s">
        <v>62</v>
      </c>
      <c r="B47" s="47"/>
      <c r="C47" s="47"/>
      <c r="D47" s="47"/>
      <c r="E47" s="47"/>
      <c r="F47" s="47"/>
      <c r="G47" s="47"/>
      <c r="H47" s="45"/>
      <c r="I47" s="45"/>
      <c r="J47" s="45"/>
      <c r="K47" s="45"/>
      <c r="L47" s="28"/>
      <c r="M47" s="35"/>
      <c r="N47" s="35"/>
      <c r="O47" s="35"/>
      <c r="P47" s="35"/>
    </row>
    <row r="48" spans="1:21" x14ac:dyDescent="0.2">
      <c r="A48" s="36"/>
      <c r="B48" s="37"/>
      <c r="C48" s="38"/>
      <c r="D48" s="36"/>
      <c r="E48" s="39"/>
      <c r="F48" s="39"/>
      <c r="G48" s="31"/>
      <c r="H48" s="28"/>
      <c r="I48" s="28"/>
      <c r="J48" s="28"/>
      <c r="K48" s="28"/>
      <c r="L48" s="28"/>
      <c r="M48" s="35"/>
      <c r="N48" s="35"/>
      <c r="O48" s="35"/>
      <c r="P48" s="35"/>
    </row>
    <row r="49" spans="1:16" x14ac:dyDescent="0.2">
      <c r="A49" s="44" t="s">
        <v>68</v>
      </c>
      <c r="B49" s="44"/>
      <c r="C49" s="44"/>
      <c r="D49" s="44"/>
      <c r="E49" s="44"/>
      <c r="F49" s="44"/>
      <c r="G49" s="44"/>
      <c r="H49" s="45"/>
      <c r="I49" s="45"/>
      <c r="J49" s="45"/>
      <c r="K49" s="45"/>
      <c r="L49" s="45"/>
      <c r="M49" s="45"/>
      <c r="N49" s="35"/>
      <c r="O49" s="35"/>
      <c r="P49" s="35"/>
    </row>
    <row r="50" spans="1:16" x14ac:dyDescent="0.2">
      <c r="A50" s="46" t="s">
        <v>63</v>
      </c>
      <c r="B50" s="46"/>
      <c r="C50" s="46"/>
      <c r="D50" s="46"/>
      <c r="E50" s="46"/>
      <c r="F50" s="46"/>
      <c r="G50" s="46"/>
      <c r="H50" s="45"/>
      <c r="I50" s="45"/>
      <c r="J50" s="45"/>
      <c r="K50" s="45"/>
      <c r="L50" s="28"/>
      <c r="M50" s="28"/>
      <c r="N50" s="28"/>
      <c r="O50" s="28"/>
      <c r="P50" s="28"/>
    </row>
    <row r="51" spans="1:16" x14ac:dyDescent="0.2">
      <c r="A51" s="69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</row>
  </sheetData>
  <mergeCells count="40">
    <mergeCell ref="A51:P51"/>
    <mergeCell ref="A1:D1"/>
    <mergeCell ref="K2:P2"/>
    <mergeCell ref="K3:P3"/>
    <mergeCell ref="A15:K15"/>
    <mergeCell ref="A16:F16"/>
    <mergeCell ref="E18:E19"/>
    <mergeCell ref="K18:K19"/>
    <mergeCell ref="C18:C19"/>
    <mergeCell ref="D18:D19"/>
    <mergeCell ref="A14:C14"/>
    <mergeCell ref="A38:M38"/>
    <mergeCell ref="A39:M39"/>
    <mergeCell ref="A40:M40"/>
    <mergeCell ref="A41:M41"/>
    <mergeCell ref="A28:P28"/>
    <mergeCell ref="A31:P31"/>
    <mergeCell ref="A34:M34"/>
    <mergeCell ref="A35:M35"/>
    <mergeCell ref="A36:M36"/>
    <mergeCell ref="A37:M37"/>
    <mergeCell ref="A18:A19"/>
    <mergeCell ref="B18:B19"/>
    <mergeCell ref="A21:P21"/>
    <mergeCell ref="A24:M24"/>
    <mergeCell ref="A25:P25"/>
    <mergeCell ref="M18:M19"/>
    <mergeCell ref="N18:P18"/>
    <mergeCell ref="A7:D7"/>
    <mergeCell ref="A9:P9"/>
    <mergeCell ref="A11:K11"/>
    <mergeCell ref="A12:B12"/>
    <mergeCell ref="A13:B13"/>
    <mergeCell ref="A8:P8"/>
    <mergeCell ref="A46:P46"/>
    <mergeCell ref="A47:K47"/>
    <mergeCell ref="A49:M49"/>
    <mergeCell ref="A50:K50"/>
    <mergeCell ref="A42:M42"/>
    <mergeCell ref="A43:M43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18</xdr:row>
                    <xdr:rowOff>895350</xdr:rowOff>
                  </from>
                  <to>
                    <xdr:col>1</xdr:col>
                    <xdr:colOff>1152525</xdr:colOff>
                    <xdr:row>18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" name="Button 50">
              <controlPr defaultSize="0" print="0" autoFill="0" autoPict="0" macro="[1]!Лист1.CollapseRows">
                <anchor moveWithCells="1" sizeWithCells="1">
                  <from>
                    <xdr:col>1</xdr:col>
                    <xdr:colOff>19050</xdr:colOff>
                    <xdr:row>18</xdr:row>
                    <xdr:rowOff>895350</xdr:rowOff>
                  </from>
                  <to>
                    <xdr:col>1</xdr:col>
                    <xdr:colOff>1152525</xdr:colOff>
                    <xdr:row>18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6" name="Button 51">
              <controlPr defaultSize="0" print="0" autoFill="0" autoPict="0" macro="[2]!Лист1.CollapseRows">
                <anchor moveWithCells="1" sizeWithCells="1">
                  <from>
                    <xdr:col>1</xdr:col>
                    <xdr:colOff>19050</xdr:colOff>
                    <xdr:row>18</xdr:row>
                    <xdr:rowOff>895350</xdr:rowOff>
                  </from>
                  <to>
                    <xdr:col>1</xdr:col>
                    <xdr:colOff>1152525</xdr:colOff>
                    <xdr:row>18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7" name="Button 52">
              <controlPr defaultSize="0" print="0" autoFill="0" autoPict="0" macro="[3]!Лист1.CollapseRows">
                <anchor moveWithCells="1" sizeWithCells="1">
                  <from>
                    <xdr:col>1</xdr:col>
                    <xdr:colOff>19050</xdr:colOff>
                    <xdr:row>18</xdr:row>
                    <xdr:rowOff>895350</xdr:rowOff>
                  </from>
                  <to>
                    <xdr:col>1</xdr:col>
                    <xdr:colOff>1152525</xdr:colOff>
                    <xdr:row>18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8" name="Button 53">
              <controlPr defaultSize="0" print="0" autoFill="0" autoPict="0" macro="[4]!Лист1.CollapseRows">
                <anchor moveWithCells="1" sizeWithCells="1">
                  <from>
                    <xdr:col>1</xdr:col>
                    <xdr:colOff>19050</xdr:colOff>
                    <xdr:row>18</xdr:row>
                    <xdr:rowOff>895350</xdr:rowOff>
                  </from>
                  <to>
                    <xdr:col>1</xdr:col>
                    <xdr:colOff>1152525</xdr:colOff>
                    <xdr:row>18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Корниенко Екатерина Юрьевна</dc:creator>
  <dc:description>17.05.2010</dc:description>
  <cp:lastModifiedBy>Сорокина Екатерина Сергеевна</cp:lastModifiedBy>
  <cp:lastPrinted>2017-02-21T01:17:50Z</cp:lastPrinted>
  <dcterms:created xsi:type="dcterms:W3CDTF">2007-02-21T08:42:24Z</dcterms:created>
  <dcterms:modified xsi:type="dcterms:W3CDTF">2017-02-21T01:17:53Z</dcterms:modified>
</cp:coreProperties>
</file>